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192.168.160.245\Project\U\USF_Series\USFシリーズ　DOC\概算消費電力算出シート\V4\"/>
    </mc:Choice>
  </mc:AlternateContent>
  <xr:revisionPtr revIDLastSave="0" documentId="13_ncr:1_{F705D90B-AE2A-4DA0-80BC-0EFA66CEB076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Calculation Instructions" sheetId="4" r:id="rId1"/>
    <sheet name="使用方法_元" sheetId="1" state="hidden" r:id="rId2"/>
    <sheet name="Calculation" sheetId="2" r:id="rId3"/>
    <sheet name="DataTable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8" i="3" l="1"/>
  <c r="J57" i="3"/>
  <c r="N4" i="3"/>
  <c r="N3" i="3"/>
  <c r="N6" i="3"/>
  <c r="N5" i="3"/>
  <c r="N8" i="3"/>
  <c r="N7" i="3"/>
  <c r="M8" i="3"/>
  <c r="M7" i="3"/>
  <c r="M4" i="3"/>
  <c r="M3" i="3"/>
  <c r="M6" i="3"/>
  <c r="M5" i="3"/>
  <c r="G53" i="3"/>
  <c r="I55" i="3"/>
  <c r="H55" i="3"/>
  <c r="G55" i="3"/>
  <c r="F55" i="3"/>
  <c r="E55" i="3"/>
  <c r="D55" i="3"/>
  <c r="J55" i="3"/>
  <c r="L55" i="3" s="1"/>
  <c r="L20" i="3"/>
  <c r="N20" i="3" s="1"/>
  <c r="K20" i="3"/>
  <c r="M20" i="3" s="1"/>
  <c r="J52" i="3"/>
  <c r="J53" i="3"/>
  <c r="L53" i="3" s="1"/>
  <c r="J54" i="3"/>
  <c r="L54" i="3" s="1"/>
  <c r="I52" i="3"/>
  <c r="I53" i="3"/>
  <c r="I54" i="3"/>
  <c r="H54" i="3"/>
  <c r="H53" i="3"/>
  <c r="H52" i="3"/>
  <c r="G52" i="3"/>
  <c r="G54" i="3"/>
  <c r="F54" i="3"/>
  <c r="F53" i="3"/>
  <c r="F52" i="3"/>
  <c r="E52" i="3"/>
  <c r="E53" i="3"/>
  <c r="E54" i="3"/>
  <c r="D54" i="3"/>
  <c r="D53" i="3"/>
  <c r="D52" i="3"/>
  <c r="L17" i="3"/>
  <c r="N17" i="3" s="1"/>
  <c r="L18" i="3"/>
  <c r="N18" i="3" s="1"/>
  <c r="L19" i="3"/>
  <c r="N19" i="3" s="1"/>
  <c r="K17" i="3"/>
  <c r="M17" i="3" s="1"/>
  <c r="K18" i="3"/>
  <c r="M18" i="3" s="1"/>
  <c r="K19" i="3"/>
  <c r="M19" i="3" s="1"/>
  <c r="J51" i="3"/>
  <c r="L51" i="3" s="1"/>
  <c r="G64" i="3"/>
  <c r="I51" i="3"/>
  <c r="H51" i="3"/>
  <c r="G51" i="3"/>
  <c r="E51" i="3"/>
  <c r="F51" i="3"/>
  <c r="D51" i="3"/>
  <c r="L16" i="3"/>
  <c r="N16" i="3" s="1"/>
  <c r="K16" i="3"/>
  <c r="M16" i="3" s="1"/>
  <c r="L45" i="3"/>
  <c r="N45" i="3" s="1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N11" i="3"/>
  <c r="M11" i="3"/>
  <c r="N13" i="3"/>
  <c r="M13" i="3"/>
  <c r="K14" i="3"/>
  <c r="M14" i="3" s="1"/>
  <c r="K3" i="3"/>
  <c r="L14" i="3"/>
  <c r="N14" i="3" s="1"/>
  <c r="L13" i="3"/>
  <c r="K13" i="3"/>
  <c r="J56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3" i="3"/>
  <c r="G62" i="3"/>
  <c r="G61" i="3"/>
  <c r="G60" i="3"/>
  <c r="G59" i="3"/>
  <c r="G58" i="3"/>
  <c r="G57" i="3"/>
  <c r="G56" i="3"/>
  <c r="I81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I49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J80" i="3"/>
  <c r="L80" i="3" s="1"/>
  <c r="J79" i="3"/>
  <c r="L79" i="3" s="1"/>
  <c r="J78" i="3"/>
  <c r="L78" i="3" s="1"/>
  <c r="J77" i="3"/>
  <c r="L77" i="3" s="1"/>
  <c r="J76" i="3"/>
  <c r="L76" i="3" s="1"/>
  <c r="J75" i="3"/>
  <c r="L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62" i="3"/>
  <c r="L62" i="3" s="1"/>
  <c r="J61" i="3"/>
  <c r="L61" i="3" s="1"/>
  <c r="J60" i="3"/>
  <c r="J59" i="3"/>
  <c r="L59" i="3" s="1"/>
  <c r="J58" i="3"/>
  <c r="K45" i="3"/>
  <c r="M45" i="3" s="1"/>
  <c r="L44" i="3"/>
  <c r="N44" i="3" s="1"/>
  <c r="K44" i="3"/>
  <c r="M44" i="3" s="1"/>
  <c r="L43" i="3"/>
  <c r="N43" i="3" s="1"/>
  <c r="K43" i="3"/>
  <c r="M43" i="3" s="1"/>
  <c r="L42" i="3"/>
  <c r="N42" i="3" s="1"/>
  <c r="K42" i="3"/>
  <c r="M42" i="3" s="1"/>
  <c r="L41" i="3"/>
  <c r="N41" i="3" s="1"/>
  <c r="K41" i="3"/>
  <c r="M41" i="3" s="1"/>
  <c r="L40" i="3"/>
  <c r="N40" i="3" s="1"/>
  <c r="K40" i="3"/>
  <c r="M40" i="3" s="1"/>
  <c r="L39" i="3"/>
  <c r="N39" i="3" s="1"/>
  <c r="K39" i="3"/>
  <c r="M39" i="3" s="1"/>
  <c r="L38" i="3"/>
  <c r="N38" i="3" s="1"/>
  <c r="K38" i="3"/>
  <c r="M38" i="3" s="1"/>
  <c r="L37" i="3"/>
  <c r="N37" i="3" s="1"/>
  <c r="K37" i="3"/>
  <c r="M37" i="3" s="1"/>
  <c r="L36" i="3"/>
  <c r="N36" i="3" s="1"/>
  <c r="K36" i="3"/>
  <c r="M36" i="3" s="1"/>
  <c r="L35" i="3"/>
  <c r="N35" i="3" s="1"/>
  <c r="K35" i="3"/>
  <c r="M35" i="3" s="1"/>
  <c r="L34" i="3"/>
  <c r="N34" i="3" s="1"/>
  <c r="K34" i="3"/>
  <c r="M34" i="3" s="1"/>
  <c r="L33" i="3"/>
  <c r="N33" i="3" s="1"/>
  <c r="K33" i="3"/>
  <c r="M33" i="3" s="1"/>
  <c r="L32" i="3"/>
  <c r="N32" i="3" s="1"/>
  <c r="K32" i="3"/>
  <c r="M32" i="3" s="1"/>
  <c r="L31" i="3"/>
  <c r="N31" i="3" s="1"/>
  <c r="K31" i="3"/>
  <c r="M31" i="3" s="1"/>
  <c r="L30" i="3"/>
  <c r="N30" i="3" s="1"/>
  <c r="K30" i="3"/>
  <c r="M30" i="3" s="1"/>
  <c r="L29" i="3"/>
  <c r="N29" i="3" s="1"/>
  <c r="K29" i="3"/>
  <c r="M29" i="3" s="1"/>
  <c r="L28" i="3"/>
  <c r="N28" i="3" s="1"/>
  <c r="K28" i="3"/>
  <c r="M28" i="3" s="1"/>
  <c r="L27" i="3"/>
  <c r="N27" i="3" s="1"/>
  <c r="K27" i="3"/>
  <c r="M27" i="3" s="1"/>
  <c r="L26" i="3"/>
  <c r="N26" i="3" s="1"/>
  <c r="K26" i="3"/>
  <c r="M26" i="3" s="1"/>
  <c r="L25" i="3"/>
  <c r="N25" i="3" s="1"/>
  <c r="K25" i="3"/>
  <c r="M25" i="3" s="1"/>
  <c r="L24" i="3"/>
  <c r="N24" i="3" s="1"/>
  <c r="K24" i="3"/>
  <c r="M24" i="3" s="1"/>
  <c r="L23" i="3"/>
  <c r="N23" i="3" s="1"/>
  <c r="K23" i="3"/>
  <c r="M23" i="3" s="1"/>
  <c r="L22" i="3"/>
  <c r="N22" i="3" s="1"/>
  <c r="K22" i="3"/>
  <c r="M22" i="3" s="1"/>
  <c r="L21" i="3"/>
  <c r="N21" i="3" s="1"/>
  <c r="K21" i="3"/>
  <c r="M21" i="3" s="1"/>
  <c r="L15" i="3"/>
  <c r="K15" i="3"/>
  <c r="L12" i="3"/>
  <c r="N12" i="3" s="1"/>
  <c r="K12" i="3"/>
  <c r="M12" i="3" s="1"/>
  <c r="L11" i="3"/>
  <c r="K11" i="3"/>
  <c r="L10" i="3"/>
  <c r="N10" i="3" s="1"/>
  <c r="K10" i="3"/>
  <c r="M10" i="3" s="1"/>
  <c r="L9" i="3"/>
  <c r="N9" i="3" s="1"/>
  <c r="K9" i="3"/>
  <c r="M9" i="3" s="1"/>
  <c r="L8" i="3"/>
  <c r="K8" i="3"/>
  <c r="L7" i="3"/>
  <c r="L3" i="3"/>
  <c r="K7" i="3"/>
  <c r="L6" i="3"/>
  <c r="K6" i="3"/>
  <c r="L5" i="3"/>
  <c r="K5" i="3"/>
  <c r="L4" i="3"/>
  <c r="K4" i="3"/>
  <c r="E81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H49" i="3"/>
  <c r="G49" i="3"/>
  <c r="F49" i="3"/>
  <c r="E49" i="3"/>
  <c r="D49" i="3"/>
  <c r="N15" i="3"/>
  <c r="M15" i="3"/>
  <c r="K54" i="3" l="1"/>
  <c r="C105" i="3"/>
  <c r="C112" i="3"/>
  <c r="C106" i="3"/>
  <c r="K55" i="3"/>
  <c r="C104" i="3"/>
  <c r="C107" i="3"/>
  <c r="C109" i="3"/>
  <c r="K53" i="3"/>
  <c r="K52" i="3"/>
  <c r="L52" i="3" s="1"/>
  <c r="K81" i="3"/>
  <c r="J81" i="3" s="1"/>
  <c r="K67" i="3"/>
  <c r="K51" i="3"/>
  <c r="K76" i="3"/>
  <c r="K58" i="3"/>
  <c r="K64" i="3"/>
  <c r="K70" i="3"/>
  <c r="K59" i="3"/>
  <c r="K65" i="3"/>
  <c r="K71" i="3"/>
  <c r="K77" i="3"/>
  <c r="K60" i="3"/>
  <c r="L60" i="3" s="1"/>
  <c r="K66" i="3"/>
  <c r="K72" i="3"/>
  <c r="K78" i="3"/>
  <c r="J50" i="3"/>
  <c r="C110" i="3" s="1"/>
  <c r="K61" i="3"/>
  <c r="K73" i="3"/>
  <c r="K79" i="3"/>
  <c r="K56" i="3"/>
  <c r="K62" i="3"/>
  <c r="K68" i="3"/>
  <c r="K74" i="3"/>
  <c r="K80" i="3"/>
  <c r="K57" i="3"/>
  <c r="K63" i="3"/>
  <c r="K69" i="3"/>
  <c r="K75" i="3"/>
  <c r="L57" i="3"/>
  <c r="L58" i="3"/>
  <c r="N46" i="3"/>
  <c r="M46" i="3"/>
  <c r="L56" i="3"/>
  <c r="C111" i="3" l="1"/>
  <c r="C103" i="3"/>
  <c r="J82" i="3" s="1"/>
  <c r="L82" i="3"/>
  <c r="D36" i="2"/>
  <c r="L35" i="2"/>
  <c r="L31" i="2"/>
  <c r="L29" i="2"/>
  <c r="L22" i="2"/>
  <c r="L12" i="2"/>
  <c r="L17" i="2"/>
  <c r="L20" i="2"/>
  <c r="L24" i="2"/>
  <c r="L30" i="2"/>
  <c r="L32" i="2"/>
  <c r="D39" i="2" l="1"/>
  <c r="B5" i="2"/>
  <c r="J21" i="2" l="1"/>
  <c r="J20" i="2"/>
  <c r="J23" i="2"/>
  <c r="J34" i="2"/>
  <c r="J32" i="2"/>
  <c r="J31" i="2"/>
  <c r="J35" i="2"/>
  <c r="J30" i="2"/>
  <c r="J29" i="2"/>
  <c r="J24" i="2"/>
  <c r="J22" i="2"/>
  <c r="J18" i="2"/>
  <c r="J17" i="2"/>
  <c r="J16" i="2"/>
  <c r="J15" i="2"/>
  <c r="J12" i="2"/>
  <c r="I35" i="2" l="1"/>
  <c r="H35" i="2"/>
  <c r="I32" i="2"/>
  <c r="H32" i="2"/>
  <c r="I31" i="2"/>
  <c r="H31" i="2"/>
  <c r="I30" i="2"/>
  <c r="H30" i="2"/>
  <c r="I29" i="2"/>
  <c r="H29" i="2"/>
  <c r="I24" i="2"/>
  <c r="H24" i="2"/>
  <c r="I22" i="2"/>
  <c r="H22" i="2"/>
  <c r="I20" i="2"/>
  <c r="I18" i="2"/>
  <c r="H18" i="2"/>
  <c r="I17" i="2"/>
  <c r="H17" i="2"/>
  <c r="I16" i="2"/>
  <c r="H16" i="2"/>
  <c r="I15" i="2"/>
  <c r="H15" i="2"/>
  <c r="I12" i="2"/>
  <c r="H12" i="2"/>
  <c r="H20" i="2"/>
  <c r="D41" i="2" l="1"/>
  <c r="D40" i="2"/>
</calcChain>
</file>

<file path=xl/sharedStrings.xml><?xml version="1.0" encoding="utf-8"?>
<sst xmlns="http://schemas.openxmlformats.org/spreadsheetml/2006/main" count="405" uniqueCount="192">
  <si>
    <t>USFシリーズ概算消費電力の算出方法</t>
  </si>
  <si>
    <t>選択したモジュールがスロットに搭載しきれない場合は</t>
  </si>
  <si>
    <t>”実装不可”と表示されます。</t>
  </si>
  <si>
    <t>USFシリーズ型名</t>
  </si>
  <si>
    <t>実装を選択</t>
  </si>
  <si>
    <t>フレーム</t>
  </si>
  <si>
    <t>使用電源電圧</t>
  </si>
  <si>
    <t>120V</t>
  </si>
  <si>
    <t>使用フレーム</t>
  </si>
  <si>
    <t>USF-212AS</t>
  </si>
  <si>
    <t>製品名</t>
  </si>
  <si>
    <t>実装可否
（可：○、不可：×）</t>
  </si>
  <si>
    <t>入力数</t>
  </si>
  <si>
    <t>出力数</t>
  </si>
  <si>
    <t>概要</t>
  </si>
  <si>
    <t>USF-212S</t>
  </si>
  <si>
    <t>USF-212</t>
  </si>
  <si>
    <t>USF-105S</t>
  </si>
  <si>
    <t>USF-1043FS</t>
  </si>
  <si>
    <t>USF-106UDC-12G</t>
  </si>
  <si>
    <t>USF-106DC-12G</t>
  </si>
  <si>
    <t>USF-1044UDC</t>
  </si>
  <si>
    <t>3G / HD / SD-SDI対応の4K アップ/ダウンコンバータ
(4K入出力は3G-SDI Quadに対応)</t>
  </si>
  <si>
    <t>USF-105DDA-12G</t>
  </si>
  <si>
    <t>USF-1053DDA</t>
  </si>
  <si>
    <t>USF-1040VEA</t>
  </si>
  <si>
    <t>USF-1040VEA + USF-VEAIF</t>
  </si>
  <si>
    <t>USF-1100VEA</t>
  </si>
  <si>
    <t>USF-1100VEA + USF-VEAIF</t>
  </si>
  <si>
    <t>USF-1013MUX</t>
  </si>
  <si>
    <t>USF-1013DEMUX</t>
  </si>
  <si>
    <t>USF-105DADA</t>
  </si>
  <si>
    <t>デジタルオーディオ / LTC / Word Clock分配器</t>
  </si>
  <si>
    <t>USF-402AADC</t>
  </si>
  <si>
    <t>USF-108ADA</t>
  </si>
  <si>
    <t>USF-108ADA + USF-ADAIF</t>
  </si>
  <si>
    <t>算出結果</t>
  </si>
  <si>
    <t>実装可否(使用Slot数/Slot上限)</t>
  </si>
  <si>
    <t>消費電力（W)</t>
  </si>
  <si>
    <t>皮相電力（VA)</t>
  </si>
  <si>
    <t>※室温25℃時の概算消費電力です。</t>
  </si>
  <si>
    <t>100V</t>
  </si>
  <si>
    <t>220V</t>
  </si>
  <si>
    <t>240V</t>
  </si>
  <si>
    <t>USF-212 + PS</t>
  </si>
  <si>
    <t>USF-212S + PS</t>
  </si>
  <si>
    <t>USF-105S + PS</t>
  </si>
  <si>
    <t>USF-212AS + PS</t>
  </si>
  <si>
    <t>USF-212PS</t>
  </si>
  <si>
    <t>USF-1040VEA + VEAIF</t>
  </si>
  <si>
    <t>USF-1100VEA + VEAIF</t>
  </si>
  <si>
    <t>USF-108ADA + ADAIF</t>
  </si>
  <si>
    <t>Slot Limit</t>
  </si>
  <si>
    <t>UFS-1044UDC</t>
  </si>
  <si>
    <t>UFS-1010VEA</t>
  </si>
  <si>
    <t>UFS-1010VEA + VEAIF</t>
  </si>
  <si>
    <t>UFS-1013MUX</t>
  </si>
  <si>
    <t>UFS-108ADA</t>
  </si>
  <si>
    <t>UFS-108ADA + ADAIF</t>
  </si>
  <si>
    <t>USF-105DADA</t>
    <phoneticPr fontId="5"/>
  </si>
  <si>
    <t>USF-111DDA-12G</t>
    <phoneticPr fontId="5"/>
  </si>
  <si>
    <t>USF-105FS-12G</t>
    <phoneticPr fontId="5"/>
  </si>
  <si>
    <t>USF-1043SS</t>
    <phoneticPr fontId="5"/>
  </si>
  <si>
    <t>モジュール</t>
    <phoneticPr fontId="5"/>
  </si>
  <si>
    <t>USF-1043VM</t>
    <phoneticPr fontId="5"/>
  </si>
  <si>
    <t>USF-106TICO-12G</t>
    <phoneticPr fontId="5"/>
  </si>
  <si>
    <t>USF-1043VTG</t>
    <phoneticPr fontId="5"/>
  </si>
  <si>
    <t>USF-101MDX4-12G</t>
    <phoneticPr fontId="5"/>
  </si>
  <si>
    <t>USF-101MDX8-12G</t>
    <phoneticPr fontId="5"/>
  </si>
  <si>
    <t>USF-204ADAC</t>
    <phoneticPr fontId="5"/>
  </si>
  <si>
    <t>USF-105FS-12G</t>
    <phoneticPr fontId="5"/>
  </si>
  <si>
    <t>○</t>
    <phoneticPr fontId="5"/>
  </si>
  <si>
    <t>×</t>
    <phoneticPr fontId="5"/>
  </si>
  <si>
    <t>HDスチルストアー</t>
    <phoneticPr fontId="5"/>
  </si>
  <si>
    <t>4K映像信号とTICOコーデック信号を変換可能な
エンコーダ/デコーダ</t>
    <rPh sb="2" eb="4">
      <t>エイゾウ</t>
    </rPh>
    <rPh sb="4" eb="6">
      <t>シンゴウ</t>
    </rPh>
    <rPh sb="16" eb="18">
      <t>シンゴウ</t>
    </rPh>
    <rPh sb="19" eb="21">
      <t>ヘンカン</t>
    </rPh>
    <rPh sb="21" eb="23">
      <t>カノウ</t>
    </rPh>
    <phoneticPr fontId="5"/>
  </si>
  <si>
    <t>11分配出力が可能な12G-SDI対応デジタルビデオ分配器</t>
    <rPh sb="2" eb="4">
      <t>ブンパイ</t>
    </rPh>
    <rPh sb="4" eb="6">
      <t>シュツリョク</t>
    </rPh>
    <rPh sb="7" eb="9">
      <t>カノウ</t>
    </rPh>
    <rPh sb="17" eb="19">
      <t>タイオウ</t>
    </rPh>
    <rPh sb="26" eb="29">
      <t>ブンパイキ</t>
    </rPh>
    <phoneticPr fontId="5"/>
  </si>
  <si>
    <t>USF-101MDX4-12G</t>
    <phoneticPr fontId="5"/>
  </si>
  <si>
    <t>○</t>
    <phoneticPr fontId="5"/>
  </si>
  <si>
    <t>○</t>
    <phoneticPr fontId="5"/>
  </si>
  <si>
    <t>HDビデオタイマー</t>
    <phoneticPr fontId="5"/>
  </si>
  <si>
    <t>AES入出力8チャネルに対応
12G-SDI対応 4Kオーディオマルチ/デマルチプレクサー</t>
    <rPh sb="3" eb="6">
      <t>ニュウシュツリョク</t>
    </rPh>
    <rPh sb="12" eb="14">
      <t>タイオウ</t>
    </rPh>
    <rPh sb="22" eb="24">
      <t>タイオウ</t>
    </rPh>
    <phoneticPr fontId="5"/>
  </si>
  <si>
    <t>AES入出力16チャネルに対応
12G-SDI対応 4Kオーディオマルチ/デマルチプレクサー</t>
    <phoneticPr fontId="5"/>
  </si>
  <si>
    <t>オーディオアナログデジタルコンバータ</t>
    <phoneticPr fontId="5"/>
  </si>
  <si>
    <t>UFF-1043VM</t>
    <phoneticPr fontId="5"/>
  </si>
  <si>
    <t>USF-105AS</t>
    <phoneticPr fontId="5"/>
  </si>
  <si>
    <t>USF-105AS + PS</t>
    <phoneticPr fontId="5"/>
  </si>
  <si>
    <t>チェンジオーバー機能搭載
3G / HD / SD-SDI対応のデジタルビデオ分配器</t>
    <phoneticPr fontId="5"/>
  </si>
  <si>
    <t>3G / HD / SD-SDI対応のデジタルビデオ分配器</t>
    <phoneticPr fontId="5"/>
  </si>
  <si>
    <t>3G / HD / SD-SDI対応のデジタルオーディオ マルチプレクサ</t>
    <phoneticPr fontId="5"/>
  </si>
  <si>
    <t>3G / HD / SD-SDI対応のデジタルオーディオ デマルチプレクサ</t>
    <phoneticPr fontId="5"/>
  </si>
  <si>
    <t>12G / 3G / HD / SD-SDI対応のデジタルビデオ分配器</t>
    <phoneticPr fontId="5"/>
  </si>
  <si>
    <t>3G / HD / SD-SDI対応のフレームシンクロナイザ</t>
    <phoneticPr fontId="5"/>
  </si>
  <si>
    <t>12G / 3G / HD / SD-SDI対応の4K ダウンコンバータ
(4K入力は12G-SDI Single、3G-SDI Quadに対応)</t>
    <phoneticPr fontId="5"/>
  </si>
  <si>
    <t>12G / 3G / HD-SDI対応の4K アップ/ダウンコンバータ
(4K入出力は12G-SDI Single、3G-SDI Quadに対応)</t>
    <phoneticPr fontId="5"/>
  </si>
  <si>
    <t>12G-SDI対応のフレームシンクロナイザ
(4K入出力は12G-SDI Single、3G-SDI Quadに対応)</t>
    <rPh sb="7" eb="9">
      <t>タイオウ</t>
    </rPh>
    <phoneticPr fontId="5"/>
  </si>
  <si>
    <t>USF-105S</t>
    <phoneticPr fontId="5"/>
  </si>
  <si>
    <t>Power Consumption</t>
    <phoneticPr fontId="5"/>
  </si>
  <si>
    <t>Apparent Power</t>
    <phoneticPr fontId="5"/>
  </si>
  <si>
    <t>Cons</t>
    <phoneticPr fontId="5"/>
  </si>
  <si>
    <t>App</t>
    <phoneticPr fontId="5"/>
  </si>
  <si>
    <t>Single</t>
    <phoneticPr fontId="5"/>
  </si>
  <si>
    <t>Sum</t>
    <phoneticPr fontId="5"/>
  </si>
  <si>
    <t>USF-212</t>
    <phoneticPr fontId="5"/>
  </si>
  <si>
    <t>USF-106UDC-12G</t>
    <phoneticPr fontId="5"/>
  </si>
  <si>
    <t>USF-106DC-12G</t>
    <phoneticPr fontId="5"/>
  </si>
  <si>
    <t>USF-1044UDC</t>
    <phoneticPr fontId="5"/>
  </si>
  <si>
    <t>USF-105DDA-12G</t>
    <phoneticPr fontId="5"/>
  </si>
  <si>
    <t>Parameter Value</t>
    <phoneticPr fontId="5"/>
  </si>
  <si>
    <t>Implementation</t>
    <phoneticPr fontId="5"/>
  </si>
  <si>
    <t>Slot</t>
    <phoneticPr fontId="5"/>
  </si>
  <si>
    <t>Frame</t>
    <phoneticPr fontId="5"/>
  </si>
  <si>
    <t>Results</t>
    <phoneticPr fontId="5"/>
  </si>
  <si>
    <t>Air Duct</t>
    <phoneticPr fontId="5"/>
  </si>
  <si>
    <t>-</t>
    <phoneticPr fontId="5"/>
  </si>
  <si>
    <t>Lookup</t>
    <phoneticPr fontId="5"/>
  </si>
  <si>
    <t>Installed</t>
    <phoneticPr fontId="5"/>
  </si>
  <si>
    <t>None</t>
    <phoneticPr fontId="5"/>
  </si>
  <si>
    <t>3G/HD/SD-SDI: max 6
4K: max 3
(12Gx2, 3G Quad x1)</t>
  </si>
  <si>
    <t>3G/HD/SD-SDI: max 6</t>
  </si>
  <si>
    <t>3G/HD/SD-SDI: 4
4K: 1 (3G-SDI×4)</t>
  </si>
  <si>
    <t>1
AES : max 4 (8ch)</t>
  </si>
  <si>
    <t>1
AES : max 8 (16ch)</t>
  </si>
  <si>
    <t>1
AES : 4 (8ch)</t>
  </si>
  <si>
    <t>AES : 1 (2ch)</t>
  </si>
  <si>
    <t>AES : 5 (10ch)</t>
  </si>
  <si>
    <t>AES : 2 (4ch)</t>
  </si>
  <si>
    <t>アナログ音声 : 4ch</t>
    <rPh sb="4" eb="6">
      <t>オンセイ</t>
    </rPh>
    <phoneticPr fontId="5"/>
  </si>
  <si>
    <t>アナログ音声 : 4ch</t>
    <phoneticPr fontId="5"/>
  </si>
  <si>
    <t>アナログ音声 : max 8ch</t>
    <phoneticPr fontId="5"/>
  </si>
  <si>
    <t>アナログ音声 : max 2ch</t>
    <phoneticPr fontId="5"/>
  </si>
  <si>
    <t>3G/HD/SD-SDI: max 5
4K: max 2 
(12Gx1, 3G Quad x1)</t>
    <phoneticPr fontId="5"/>
  </si>
  <si>
    <t>ケーブル補償、ループスルー付きアナログ ビデオ/3値シンク分配器＋VEA イーサネット インターフェース</t>
    <phoneticPr fontId="5"/>
  </si>
  <si>
    <t>1入力8分配又は、２入力２分配可能な
アナログオーディオ分配器＋ADAイーサネットインターフェース</t>
    <rPh sb="28" eb="31">
      <t>ブンパイキ</t>
    </rPh>
    <phoneticPr fontId="5"/>
  </si>
  <si>
    <t>ケーブル補償、ループスルー付き
アナログ ビデオ/3値シンク分配器</t>
    <phoneticPr fontId="5"/>
  </si>
  <si>
    <t>ケーブル補償、ループスルー付きアナログ ビデオ/3値シンク分配器＋VEA イーサネット インターフェース</t>
    <phoneticPr fontId="5"/>
  </si>
  <si>
    <t>ケーブル補償、ループスルー付き
アナログ ビデオ/3値シンク分配器</t>
    <phoneticPr fontId="5"/>
  </si>
  <si>
    <t>1入力8分配又は、２入力２分配可能な
アナログオーディオ分配器</t>
    <phoneticPr fontId="5"/>
  </si>
  <si>
    <t>USF-1043FS</t>
    <phoneticPr fontId="5"/>
  </si>
  <si>
    <t>USF-1053DDA</t>
    <phoneticPr fontId="5"/>
  </si>
  <si>
    <t>USF-1040VEA</t>
    <phoneticPr fontId="5"/>
  </si>
  <si>
    <t>USF-1040VEA + USF-VEAIF</t>
    <phoneticPr fontId="5"/>
  </si>
  <si>
    <t>USF-1100VEA</t>
    <phoneticPr fontId="5"/>
  </si>
  <si>
    <t>USF-1100VEA + USF-VEAIF</t>
    <phoneticPr fontId="5"/>
  </si>
  <si>
    <t>USF-1043VTG</t>
    <phoneticPr fontId="5"/>
  </si>
  <si>
    <t>USF-1043VM</t>
    <phoneticPr fontId="5"/>
  </si>
  <si>
    <t>USF-101MDX8-12G</t>
    <phoneticPr fontId="5"/>
  </si>
  <si>
    <t>USF-1013MUX</t>
    <phoneticPr fontId="5"/>
  </si>
  <si>
    <t>USF-1013DEMUX</t>
    <phoneticPr fontId="5"/>
  </si>
  <si>
    <t>USF-402AADC</t>
    <phoneticPr fontId="5"/>
  </si>
  <si>
    <t>USF-108ADA</t>
    <phoneticPr fontId="5"/>
  </si>
  <si>
    <t>USF-108ADA + USF-ADAIF</t>
    <phoneticPr fontId="5"/>
  </si>
  <si>
    <t>エアーダクト</t>
    <phoneticPr fontId="5"/>
  </si>
  <si>
    <t>Slot数</t>
    <rPh sb="4" eb="5">
      <t>スウ</t>
    </rPh>
    <phoneticPr fontId="5"/>
  </si>
  <si>
    <t>※Excel2012以降のご使用を推奨します。</t>
    <phoneticPr fontId="5"/>
  </si>
  <si>
    <t>USF-212BS</t>
    <phoneticPr fontId="5"/>
  </si>
  <si>
    <t>USF-212BS + PS</t>
    <phoneticPr fontId="5"/>
  </si>
  <si>
    <t>○</t>
    <phoneticPr fontId="5"/>
  </si>
  <si>
    <t>×</t>
    <phoneticPr fontId="5"/>
  </si>
  <si>
    <t>USF-10IP-TRC</t>
    <phoneticPr fontId="5"/>
  </si>
  <si>
    <t>USF-10IP-TRC-FS</t>
    <phoneticPr fontId="5"/>
  </si>
  <si>
    <t>USF-10IPSDI6-FS</t>
    <phoneticPr fontId="5"/>
  </si>
  <si>
    <t>USF-10IPSDI12-FS</t>
    <phoneticPr fontId="5"/>
  </si>
  <si>
    <t>USF-80SDICS</t>
    <phoneticPr fontId="5"/>
  </si>
  <si>
    <t>Installed</t>
  </si>
  <si>
    <t>SMPTE ST 2022-8 ↔ SMPTE ST 2110 変換モデル</t>
    <rPh sb="32" eb="34">
      <t>ヘンカン</t>
    </rPh>
    <phoneticPr fontId="5"/>
  </si>
  <si>
    <t>SMPTE ST 2022-6 ↔ SMPTE ST 2110 変換モデル
SMPTE ST 2022-6受信データをPTP同期するための、
フレームシンクロナイザー機能搭載</t>
    <rPh sb="32" eb="34">
      <t>ヘンカン</t>
    </rPh>
    <rPh sb="53" eb="55">
      <t>ジュシン</t>
    </rPh>
    <rPh sb="62" eb="64">
      <t>ドウキ</t>
    </rPh>
    <rPh sb="83" eb="87">
      <t>キノウトウサイ</t>
    </rPh>
    <phoneticPr fontId="5"/>
  </si>
  <si>
    <t>10GbE(SFP+) ×4ポート</t>
    <phoneticPr fontId="5"/>
  </si>
  <si>
    <t>IP ↔ SDI 伝送方式変換モデル
フレームシンクロナイザー機能搭載</t>
    <rPh sb="9" eb="13">
      <t>デンソウホウシキ</t>
    </rPh>
    <rPh sb="13" eb="15">
      <t>ヘンカン</t>
    </rPh>
    <rPh sb="31" eb="33">
      <t>キノウ</t>
    </rPh>
    <rPh sb="33" eb="35">
      <t>トウサイ</t>
    </rPh>
    <phoneticPr fontId="5"/>
  </si>
  <si>
    <t>○※1</t>
    <phoneticPr fontId="5"/>
  </si>
  <si>
    <t>○※1</t>
    <phoneticPr fontId="5"/>
  </si>
  <si>
    <t>※1：USF-VEAIF、またはUSF-ADAIFがない場合、LAN経由での監視/設定ができません。</t>
    <rPh sb="34" eb="36">
      <t>ケイユ</t>
    </rPh>
    <phoneticPr fontId="5"/>
  </si>
  <si>
    <t>※2：USF-80SDICSはUSF Web GUIには対応しておりません。 USF Web GUIでは装着状態、バージョン確認ができません。</t>
    <phoneticPr fontId="5"/>
  </si>
  <si>
    <t>USF-80SDICS (※2)</t>
    <phoneticPr fontId="5"/>
  </si>
  <si>
    <t xml:space="preserve">3G/HD/SD-SDI対応のシームレスチェンジオーバー
フレームシンクロナイザー機能、リレーバイパス機能搭載 </t>
    <phoneticPr fontId="5"/>
  </si>
  <si>
    <t>(IP) 10GbE(SFP+) ×2ポート
(SDI) 3G設定時: 3in3out / 
　　　　　　　　　　　 HD設定時: 3in3out, 6in, 6out(※3)</t>
    <phoneticPr fontId="5"/>
  </si>
  <si>
    <t>(IP) 10GbE(SFP+) ×2ポート
(SDI) 3G設定時: 3in3out /
      HD設定時: 6in6out</t>
    <phoneticPr fontId="5"/>
  </si>
  <si>
    <t>※3：USF-IPSDI6-FSでは6系統のSDI入出力端子を、3入力3出力/6入力/6出力から切り替えて使用できます。</t>
    <phoneticPr fontId="5"/>
  </si>
  <si>
    <t>選択中のフレームで使用できないモジュールを選択した場合や</t>
  </si>
  <si>
    <t>USFシリーズ概算消費電力（Ver. 4.00)</t>
    <phoneticPr fontId="5"/>
  </si>
  <si>
    <t>積載スロット数が12より上</t>
    <rPh sb="0" eb="2">
      <t>セキサイ</t>
    </rPh>
    <rPh sb="6" eb="7">
      <t>スウ</t>
    </rPh>
    <rPh sb="12" eb="13">
      <t>ウエ</t>
    </rPh>
    <phoneticPr fontId="5"/>
  </si>
  <si>
    <t>3スロット製品4枚以上実装</t>
    <rPh sb="5" eb="7">
      <t>セイヒン</t>
    </rPh>
    <rPh sb="8" eb="9">
      <t>マイ</t>
    </rPh>
    <rPh sb="9" eb="11">
      <t>イジョウ</t>
    </rPh>
    <rPh sb="11" eb="13">
      <t>ジッソウ</t>
    </rPh>
    <phoneticPr fontId="5"/>
  </si>
  <si>
    <t>3スロット3枚、2スロット以上１枚以上</t>
    <rPh sb="6" eb="7">
      <t>マイ</t>
    </rPh>
    <rPh sb="13" eb="15">
      <t>イジョウ</t>
    </rPh>
    <rPh sb="16" eb="17">
      <t>マイ</t>
    </rPh>
    <rPh sb="17" eb="19">
      <t>イジョウ</t>
    </rPh>
    <phoneticPr fontId="5"/>
  </si>
  <si>
    <t>USF-10IP-TRCを6枚以上実装</t>
    <rPh sb="14" eb="15">
      <t>マイ</t>
    </rPh>
    <rPh sb="15" eb="17">
      <t>イジョウ</t>
    </rPh>
    <rPh sb="17" eb="19">
      <t>ジッソウ</t>
    </rPh>
    <phoneticPr fontId="5"/>
  </si>
  <si>
    <t>USF-10IP-TRCを5枚、他モジュール1枚以上実装</t>
    <rPh sb="14" eb="15">
      <t>マイ</t>
    </rPh>
    <rPh sb="16" eb="17">
      <t>ホカ</t>
    </rPh>
    <rPh sb="23" eb="26">
      <t>マイイジョウ</t>
    </rPh>
    <rPh sb="26" eb="28">
      <t>ジッソウ</t>
    </rPh>
    <phoneticPr fontId="5"/>
  </si>
  <si>
    <t>USF-10IPSDI6-FSを6枚以上実装</t>
    <phoneticPr fontId="5"/>
  </si>
  <si>
    <t>USF-10IPSDI6-FSを5枚、他モジュールを1枚以上実装</t>
    <rPh sb="17" eb="18">
      <t>マイ</t>
    </rPh>
    <rPh sb="19" eb="20">
      <t>ホカ</t>
    </rPh>
    <rPh sb="27" eb="30">
      <t>マイイジョウ</t>
    </rPh>
    <rPh sb="30" eb="32">
      <t>ジッソウ</t>
    </rPh>
    <phoneticPr fontId="5"/>
  </si>
  <si>
    <t>3スロット2枚、2スロット以上3枚以上</t>
    <rPh sb="6" eb="7">
      <t>マイ</t>
    </rPh>
    <rPh sb="13" eb="15">
      <t>イジョウ</t>
    </rPh>
    <rPh sb="16" eb="17">
      <t>マイ</t>
    </rPh>
    <rPh sb="17" eb="19">
      <t>イジョウ</t>
    </rPh>
    <phoneticPr fontId="5"/>
  </si>
  <si>
    <t>実装不可条件</t>
    <rPh sb="0" eb="2">
      <t>ジッソウ</t>
    </rPh>
    <rPh sb="2" eb="4">
      <t>フカ</t>
    </rPh>
    <rPh sb="4" eb="6">
      <t>ジョウケン</t>
    </rPh>
    <phoneticPr fontId="5"/>
  </si>
  <si>
    <t>状態</t>
    <rPh sb="0" eb="2">
      <t>ジョウタイ</t>
    </rPh>
    <phoneticPr fontId="5"/>
  </si>
  <si>
    <t>105AS時、USF105FSを4枚以上実装</t>
    <rPh sb="5" eb="6">
      <t>ジ</t>
    </rPh>
    <rPh sb="17" eb="18">
      <t>マイ</t>
    </rPh>
    <rPh sb="18" eb="20">
      <t>イジョウ</t>
    </rPh>
    <rPh sb="20" eb="22">
      <t>ジッソウ</t>
    </rPh>
    <phoneticPr fontId="5"/>
  </si>
  <si>
    <t>105AS時、USF105FSを3枚実装、他モジュールを1枚以上実装</t>
    <rPh sb="5" eb="6">
      <t>ジ</t>
    </rPh>
    <rPh sb="17" eb="18">
      <t>マイ</t>
    </rPh>
    <rPh sb="18" eb="20">
      <t>ジッソウ</t>
    </rPh>
    <rPh sb="21" eb="22">
      <t>ホカ</t>
    </rPh>
    <rPh sb="29" eb="32">
      <t>マイイジョウ</t>
    </rPh>
    <rPh sb="32" eb="34">
      <t>ジッソウ</t>
    </rPh>
    <phoneticPr fontId="5"/>
  </si>
  <si>
    <t>USF-212BS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</si>
</sst>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_ "/>
    <numFmt numFmtId="178" formatCode="0_ "/>
  </numFmts>
  <fonts count="11" x14ac:knownFonts="1">
    <font>
      <sz val="12"/>
      <name val="ＭＳ Ｐゴシック"/>
      <family val="2"/>
      <charset val="134"/>
    </font>
    <font>
      <b/>
      <sz val="20"/>
      <name val="ＭＳ Ｐゴシック"/>
      <family val="3"/>
      <charset val="1"/>
    </font>
    <font>
      <b/>
      <sz val="20"/>
      <name val="ＭＳ Ｐゴシック"/>
      <family val="3"/>
      <charset val="128"/>
    </font>
    <font>
      <sz val="12"/>
      <name val="ＭＳ Ｐゴシック"/>
      <family val="2"/>
      <charset val="1"/>
    </font>
    <font>
      <b/>
      <sz val="12"/>
      <name val="ＭＳ Ｐゴシック"/>
      <family val="2"/>
      <charset val="134"/>
    </font>
    <font>
      <sz val="6"/>
      <name val="ＭＳ Ｐゴシック"/>
      <family val="3"/>
      <charset val="128"/>
    </font>
    <font>
      <sz val="10"/>
      <name val="ＭＳ Ｐゴシック"/>
      <family val="2"/>
      <charset val="134"/>
    </font>
    <font>
      <sz val="10"/>
      <name val="ＭＳ Ｐゴシック"/>
      <family val="3"/>
      <charset val="128"/>
    </font>
    <font>
      <sz val="12"/>
      <name val="Arial Unicode MS"/>
      <family val="3"/>
      <charset val="128"/>
    </font>
    <font>
      <sz val="12"/>
      <color theme="1" tint="0.499984740745262"/>
      <name val="Arial Unicode MS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medium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1">
      <alignment horizontal="center" vertical="center"/>
      <protection hidden="1"/>
    </xf>
  </cellStyleXfs>
  <cellXfs count="127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Protection="1">
      <alignment vertical="center"/>
    </xf>
    <xf numFmtId="0" fontId="0" fillId="0" borderId="6" xfId="0" applyFont="1" applyBorder="1" applyProtection="1">
      <alignment vertical="center"/>
    </xf>
    <xf numFmtId="0" fontId="0" fillId="0" borderId="8" xfId="0" applyFont="1" applyBorder="1" applyProtection="1">
      <alignment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" xfId="0" applyFont="1" applyBorder="1" applyProtection="1">
      <alignment vertical="center"/>
    </xf>
    <xf numFmtId="0" fontId="4" fillId="0" borderId="1" xfId="1" applyProtection="1">
      <alignment horizontal="center" vertical="center"/>
    </xf>
    <xf numFmtId="176" fontId="0" fillId="0" borderId="1" xfId="0" applyNumberForma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0" xfId="0" applyFont="1" applyBorder="1" applyProtection="1">
      <alignment vertical="center"/>
    </xf>
    <xf numFmtId="0" fontId="0" fillId="0" borderId="2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vertical="center" wrapText="1"/>
    </xf>
    <xf numFmtId="0" fontId="0" fillId="0" borderId="7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177" fontId="0" fillId="0" borderId="1" xfId="0" applyNumberFormat="1" applyFont="1" applyFill="1" applyBorder="1" applyProtection="1">
      <alignment vertical="center"/>
      <protection hidden="1"/>
    </xf>
    <xf numFmtId="0" fontId="3" fillId="0" borderId="1" xfId="0" applyFont="1" applyFill="1" applyBorder="1" applyProtection="1">
      <alignment vertical="center"/>
      <protection hidden="1"/>
    </xf>
    <xf numFmtId="0" fontId="0" fillId="0" borderId="12" xfId="0" applyFont="1" applyFill="1" applyBorder="1" applyProtection="1">
      <alignment vertical="center"/>
      <protection hidden="1"/>
    </xf>
    <xf numFmtId="177" fontId="0" fillId="0" borderId="12" xfId="0" applyNumberFormat="1" applyFont="1" applyFill="1" applyBorder="1" applyProtection="1">
      <alignment vertical="center"/>
      <protection hidden="1"/>
    </xf>
    <xf numFmtId="0" fontId="0" fillId="0" borderId="0" xfId="0" applyFont="1" applyFill="1" applyBorder="1" applyProtection="1">
      <alignment vertical="center"/>
      <protection hidden="1"/>
    </xf>
    <xf numFmtId="177" fontId="0" fillId="0" borderId="13" xfId="0" applyNumberFormat="1" applyFont="1" applyFill="1" applyBorder="1" applyProtection="1">
      <alignment vertical="center"/>
      <protection hidden="1"/>
    </xf>
    <xf numFmtId="0" fontId="0" fillId="0" borderId="11" xfId="0" applyFont="1" applyFill="1" applyBorder="1" applyAlignment="1" applyProtection="1">
      <alignment horizontal="center" vertic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178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right" vertical="center"/>
      <protection hidden="1"/>
    </xf>
    <xf numFmtId="178" fontId="0" fillId="0" borderId="1" xfId="0" applyNumberFormat="1" applyFont="1" applyFill="1" applyBorder="1" applyProtection="1">
      <alignment vertical="center"/>
      <protection hidden="1"/>
    </xf>
    <xf numFmtId="0" fontId="0" fillId="0" borderId="1" xfId="0" applyNumberFormat="1" applyFont="1" applyFill="1" applyBorder="1" applyProtection="1">
      <alignment vertical="center"/>
      <protection hidden="1"/>
    </xf>
    <xf numFmtId="0" fontId="0" fillId="0" borderId="14" xfId="0" applyNumberFormat="1" applyFont="1" applyFill="1" applyBorder="1" applyProtection="1">
      <alignment vertical="center"/>
      <protection hidden="1"/>
    </xf>
    <xf numFmtId="0" fontId="0" fillId="0" borderId="12" xfId="0" applyNumberFormat="1" applyFont="1" applyFill="1" applyBorder="1" applyProtection="1">
      <alignment vertical="center"/>
      <protection hidden="1"/>
    </xf>
    <xf numFmtId="0" fontId="0" fillId="0" borderId="15" xfId="0" applyNumberFormat="1" applyFont="1" applyFill="1" applyBorder="1" applyProtection="1">
      <alignment vertical="center"/>
      <protection hidden="1"/>
    </xf>
    <xf numFmtId="0" fontId="0" fillId="0" borderId="13" xfId="0" applyFont="1" applyFill="1" applyBorder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left" vertical="center"/>
      <protection hidden="1"/>
    </xf>
    <xf numFmtId="0" fontId="0" fillId="0" borderId="13" xfId="0" applyNumberFormat="1" applyFont="1" applyFill="1" applyBorder="1" applyProtection="1">
      <alignment vertical="center"/>
      <protection hidden="1"/>
    </xf>
    <xf numFmtId="0" fontId="0" fillId="0" borderId="13" xfId="0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locked="0" hidden="1"/>
    </xf>
    <xf numFmtId="0" fontId="9" fillId="0" borderId="9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Protection="1">
      <alignment vertical="center"/>
    </xf>
    <xf numFmtId="0" fontId="10" fillId="0" borderId="0" xfId="0" applyFont="1">
      <alignment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25" xfId="0" applyFont="1" applyBorder="1" applyProtection="1">
      <alignment vertical="center"/>
    </xf>
    <xf numFmtId="0" fontId="0" fillId="0" borderId="26" xfId="0" applyFont="1" applyBorder="1" applyProtection="1">
      <alignment vertical="center"/>
    </xf>
    <xf numFmtId="0" fontId="0" fillId="0" borderId="27" xfId="0" applyFont="1" applyBorder="1" applyProtection="1">
      <alignment vertical="center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0" fillId="0" borderId="31" xfId="0" applyFont="1" applyBorder="1" applyProtection="1">
      <alignment vertical="center"/>
    </xf>
    <xf numFmtId="0" fontId="0" fillId="0" borderId="31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  <protection locked="0" hidden="1"/>
    </xf>
    <xf numFmtId="0" fontId="0" fillId="0" borderId="32" xfId="0" applyFont="1" applyBorder="1" applyProtection="1">
      <alignment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 wrapText="1"/>
    </xf>
    <xf numFmtId="0" fontId="0" fillId="0" borderId="35" xfId="0" applyFont="1" applyBorder="1" applyAlignment="1" applyProtection="1">
      <alignment horizontal="left" vertical="center" wrapText="1"/>
    </xf>
    <xf numFmtId="0" fontId="0" fillId="0" borderId="36" xfId="0" applyFont="1" applyBorder="1" applyProtection="1">
      <alignment vertical="center"/>
    </xf>
    <xf numFmtId="2" fontId="0" fillId="0" borderId="1" xfId="0" applyNumberFormat="1" applyFill="1" applyBorder="1">
      <alignment vertical="center"/>
    </xf>
    <xf numFmtId="177" fontId="0" fillId="0" borderId="1" xfId="0" applyNumberFormat="1" applyFill="1" applyBorder="1" applyProtection="1">
      <alignment vertical="center"/>
      <protection hidden="1"/>
    </xf>
    <xf numFmtId="0" fontId="0" fillId="0" borderId="0" xfId="0" applyAlignment="1" applyProtection="1">
      <alignment vertical="center"/>
    </xf>
    <xf numFmtId="0" fontId="0" fillId="0" borderId="0" xfId="0" applyAlignment="1" applyProtection="1"/>
    <xf numFmtId="0" fontId="0" fillId="3" borderId="18" xfId="0" applyFont="1" applyFill="1" applyBorder="1" applyAlignment="1" applyProtection="1">
      <alignment horizontal="left" vertical="center"/>
    </xf>
    <xf numFmtId="0" fontId="0" fillId="3" borderId="33" xfId="0" applyFont="1" applyFill="1" applyBorder="1" applyAlignment="1" applyProtection="1">
      <alignment horizontal="left" vertical="center"/>
    </xf>
    <xf numFmtId="0" fontId="0" fillId="3" borderId="34" xfId="0" applyFont="1" applyFill="1" applyBorder="1" applyAlignment="1" applyProtection="1">
      <alignment horizontal="center" vertical="center"/>
    </xf>
    <xf numFmtId="0" fontId="0" fillId="3" borderId="20" xfId="0" applyFont="1" applyFill="1" applyBorder="1" applyAlignment="1" applyProtection="1">
      <alignment horizontal="left" vertical="center" wrapText="1"/>
    </xf>
    <xf numFmtId="0" fontId="0" fillId="3" borderId="35" xfId="0" applyFont="1" applyFill="1" applyBorder="1" applyAlignment="1" applyProtection="1">
      <alignment horizontal="left" vertical="center" wrapText="1"/>
    </xf>
    <xf numFmtId="0" fontId="0" fillId="0" borderId="34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left" vertical="center" wrapText="1"/>
    </xf>
    <xf numFmtId="0" fontId="0" fillId="4" borderId="17" xfId="0" applyFont="1" applyFill="1" applyBorder="1" applyAlignment="1" applyProtection="1">
      <alignment horizontal="center" vertical="center"/>
    </xf>
    <xf numFmtId="0" fontId="0" fillId="4" borderId="34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3" borderId="28" xfId="0" applyFont="1" applyFill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0" fillId="3" borderId="38" xfId="0" applyFont="1" applyFill="1" applyBorder="1" applyAlignment="1" applyProtection="1">
      <alignment horizontal="center" vertical="center"/>
    </xf>
    <xf numFmtId="0" fontId="0" fillId="0" borderId="38" xfId="0" applyFont="1" applyFill="1" applyBorder="1" applyAlignment="1" applyProtection="1">
      <alignment horizontal="center" vertical="center"/>
    </xf>
    <xf numFmtId="0" fontId="0" fillId="0" borderId="38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left" vertical="center"/>
    </xf>
    <xf numFmtId="0" fontId="0" fillId="0" borderId="6" xfId="0" applyFont="1" applyFill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/>
    </xf>
    <xf numFmtId="0" fontId="0" fillId="0" borderId="1" xfId="0" applyBorder="1" applyProtection="1">
      <alignment vertical="center"/>
      <protection hidden="1"/>
    </xf>
    <xf numFmtId="0" fontId="0" fillId="0" borderId="1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1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8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3" xfId="0" applyFont="1" applyBorder="1" applyAlignment="1" applyProtection="1">
      <alignment horizontal="left" vertical="center"/>
    </xf>
    <xf numFmtId="0" fontId="0" fillId="3" borderId="29" xfId="0" applyFont="1" applyFill="1" applyBorder="1" applyAlignment="1" applyProtection="1">
      <alignment horizontal="center" vertical="center"/>
    </xf>
    <xf numFmtId="0" fontId="0" fillId="3" borderId="28" xfId="0" applyFont="1" applyFill="1" applyBorder="1" applyAlignment="1" applyProtection="1">
      <alignment horizontal="center" vertical="center"/>
    </xf>
    <xf numFmtId="0" fontId="0" fillId="3" borderId="14" xfId="0" applyFont="1" applyFill="1" applyBorder="1" applyAlignment="1" applyProtection="1">
      <alignment horizontal="center" vertical="center"/>
    </xf>
    <xf numFmtId="0" fontId="0" fillId="3" borderId="13" xfId="0" applyFont="1" applyFill="1" applyBorder="1" applyAlignment="1" applyProtection="1">
      <alignment horizontal="center" vertical="center"/>
    </xf>
    <xf numFmtId="0" fontId="0" fillId="3" borderId="14" xfId="0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 applyProtection="1">
      <alignment horizontal="left" vertical="center"/>
      <protection hidden="1"/>
    </xf>
    <xf numFmtId="0" fontId="0" fillId="0" borderId="16" xfId="0" applyFont="1" applyFill="1" applyBorder="1" applyAlignment="1" applyProtection="1">
      <alignment horizontal="left" vertical="center"/>
      <protection hidden="1"/>
    </xf>
    <xf numFmtId="0" fontId="0" fillId="0" borderId="13" xfId="0" applyFont="1" applyFill="1" applyBorder="1" applyAlignment="1" applyProtection="1">
      <alignment horizontal="left" vertic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0" fillId="0" borderId="16" xfId="0" applyFont="1" applyFill="1" applyBorder="1" applyAlignment="1" applyProtection="1">
      <alignment horizontal="center" vertical="center"/>
      <protection hidden="1"/>
    </xf>
    <xf numFmtId="0" fontId="0" fillId="0" borderId="13" xfId="0" applyFont="1" applyFill="1" applyBorder="1" applyAlignment="1" applyProtection="1">
      <alignment horizontal="center" vertical="center"/>
      <protection hidden="1"/>
    </xf>
    <xf numFmtId="0" fontId="0" fillId="0" borderId="14" xfId="0" applyFont="1" applyFill="1" applyBorder="1" applyProtection="1">
      <alignment vertical="center"/>
      <protection hidden="1"/>
    </xf>
    <xf numFmtId="0" fontId="0" fillId="0" borderId="16" xfId="0" applyFont="1" applyFill="1" applyBorder="1" applyProtection="1">
      <alignment vertical="center"/>
      <protection hidden="1"/>
    </xf>
    <xf numFmtId="0" fontId="0" fillId="0" borderId="13" xfId="0" applyFont="1" applyFill="1" applyBorder="1" applyProtection="1">
      <alignment vertical="center"/>
      <protection hidden="1"/>
    </xf>
  </cellXfs>
  <cellStyles count="2">
    <cellStyle name="説明文" xfId="1" builtinId="53" customBuiltin="1"/>
    <cellStyle name="標準" xfId="0" builtinId="0"/>
  </cellStyles>
  <dxfs count="26">
    <dxf>
      <font>
        <b val="0"/>
        <i val="0"/>
        <color theme="1" tint="0.499984740745262"/>
      </font>
      <fill>
        <patternFill>
          <bgColor theme="2" tint="-9.9948118533890809E-2"/>
        </patternFill>
      </fill>
    </dxf>
    <dxf>
      <font>
        <b val="0"/>
        <i val="0"/>
        <strike val="0"/>
      </font>
      <fill>
        <patternFill>
          <bgColor theme="7" tint="0.79998168889431442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000000"/>
        <name val="ＭＳ Ｐゴシック"/>
      </font>
      <fill>
        <patternFill>
          <bgColor rgb="FFDDDDDD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523875</xdr:colOff>
      <xdr:row>69</xdr:row>
      <xdr:rowOff>9525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9337FA7-1FAE-447A-97EB-75D5E5E94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7675" cy="1262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11205</xdr:rowOff>
    </xdr:from>
    <xdr:to>
      <xdr:col>5</xdr:col>
      <xdr:colOff>267577</xdr:colOff>
      <xdr:row>65</xdr:row>
      <xdr:rowOff>64433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C12E7B9-80ED-4088-8976-CB21A0B1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058"/>
          <a:ext cx="4749930" cy="11348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187811</xdr:colOff>
      <xdr:row>1</xdr:row>
      <xdr:rowOff>107366</xdr:rowOff>
    </xdr:from>
    <xdr:to>
      <xdr:col>8</xdr:col>
      <xdr:colOff>81131</xdr:colOff>
      <xdr:row>4</xdr:row>
      <xdr:rowOff>54410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70164" y="409925"/>
          <a:ext cx="2582732" cy="473720"/>
        </a:xfrm>
        <a:prstGeom prst="wedgeRectCallout">
          <a:avLst>
            <a:gd name="adj1" fmla="val -70386"/>
            <a:gd name="adj2" fmla="val 57752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</a:rPr>
            <a:t>ここをクリックして電圧を選びます。</a:t>
          </a:r>
          <a:endParaRPr lang="en-US" sz="1100" b="0" strike="noStrike" spc="-1" baseline="0">
            <a:latin typeface="Times New Roman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5</xdr:col>
      <xdr:colOff>171450</xdr:colOff>
      <xdr:row>4</xdr:row>
      <xdr:rowOff>163042</xdr:rowOff>
    </xdr:from>
    <xdr:to>
      <xdr:col>8</xdr:col>
      <xdr:colOff>41686</xdr:colOff>
      <xdr:row>6</xdr:row>
      <xdr:rowOff>141038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648200" y="1001242"/>
          <a:ext cx="2556286" cy="349471"/>
        </a:xfrm>
        <a:prstGeom prst="wedgeRectCallout">
          <a:avLst>
            <a:gd name="adj1" fmla="val -69488"/>
            <a:gd name="adj2" fmla="val -10292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marL="0" indent="0"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USFフレームを選びます。</a:t>
          </a:r>
        </a:p>
      </xdr:txBody>
    </xdr:sp>
    <xdr:clientData/>
  </xdr:twoCellAnchor>
  <xdr:twoCellAnchor editAs="oneCell">
    <xdr:from>
      <xdr:col>4</xdr:col>
      <xdr:colOff>589251</xdr:colOff>
      <xdr:row>7</xdr:row>
      <xdr:rowOff>85725</xdr:rowOff>
    </xdr:from>
    <xdr:to>
      <xdr:col>5</xdr:col>
      <xdr:colOff>119661</xdr:colOff>
      <xdr:row>59</xdr:row>
      <xdr:rowOff>9525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170651" y="1476375"/>
          <a:ext cx="425760" cy="9334500"/>
        </a:xfrm>
        <a:prstGeom prst="rightBracket">
          <a:avLst>
            <a:gd name="adj" fmla="val 119162"/>
          </a:avLst>
        </a:prstGeom>
        <a:noFill/>
        <a:ln w="3600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5</xdr:col>
      <xdr:colOff>520147</xdr:colOff>
      <xdr:row>23</xdr:row>
      <xdr:rowOff>106131</xdr:rowOff>
    </xdr:from>
    <xdr:to>
      <xdr:col>8</xdr:col>
      <xdr:colOff>285797</xdr:colOff>
      <xdr:row>27</xdr:row>
      <xdr:rowOff>57307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96897" y="4392381"/>
          <a:ext cx="2451700" cy="675076"/>
        </a:xfrm>
        <a:prstGeom prst="wedgeRectCallout">
          <a:avLst>
            <a:gd name="adj1" fmla="val -61569"/>
            <a:gd name="adj2" fmla="val -37739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marL="0" indent="0"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各セルにモジュール数を入力します</a:t>
          </a:r>
          <a:r>
            <a:rPr lang="ja-JP" alt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。</a:t>
          </a:r>
          <a:endParaRPr lang="en-US" altLang="ja-JP" sz="1100" b="0" strike="noStrike" spc="-1" baseline="0">
            <a:solidFill>
              <a:srgbClr val="000000"/>
            </a:solidFill>
            <a:latin typeface="Times New Roman"/>
            <a:ea typeface="ＭＳ Ｐゴシック" panose="020B0600070205080204" pitchFamily="50" charset="-128"/>
            <a:cs typeface="+mn-cs"/>
          </a:endParaRPr>
        </a:p>
        <a:p>
          <a:pPr marL="0" indent="0">
            <a:lnSpc>
              <a:spcPct val="100000"/>
            </a:lnSpc>
          </a:pPr>
          <a:r>
            <a:rPr lang="ja-JP" alt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黄色いセルが実装できるモジュールです。</a:t>
          </a:r>
          <a:endParaRPr lang="en-US" altLang="ja-JP" sz="1100" b="0" strike="noStrike" spc="-1" baseline="0">
            <a:solidFill>
              <a:srgbClr val="000000"/>
            </a:solidFill>
            <a:latin typeface="Times New Roman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5</xdr:col>
      <xdr:colOff>353545</xdr:colOff>
      <xdr:row>59</xdr:row>
      <xdr:rowOff>150672</xdr:rowOff>
    </xdr:from>
    <xdr:to>
      <xdr:col>8</xdr:col>
      <xdr:colOff>90742</xdr:colOff>
      <xdr:row>64</xdr:row>
      <xdr:rowOff>44521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835898" y="10852290"/>
          <a:ext cx="2426609" cy="790319"/>
        </a:xfrm>
        <a:prstGeom prst="wedgeRectCallout">
          <a:avLst>
            <a:gd name="adj1" fmla="val -77122"/>
            <a:gd name="adj2" fmla="val 15810"/>
          </a:avLst>
        </a:prstGeom>
        <a:solidFill>
          <a:srgbClr val="FFC000"/>
        </a:soli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marL="0" indent="0"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結果が表示されます。</a:t>
          </a:r>
        </a:p>
        <a:p>
          <a:pPr marL="0" indent="0"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括弧内は実装基板に必要なSlot数と、選択したUSFフレームが実装できるSlotの上限です。</a:t>
          </a:r>
        </a:p>
        <a:p>
          <a:pPr>
            <a:lnSpc>
              <a:spcPct val="100000"/>
            </a:lnSpc>
          </a:pP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180975</xdr:colOff>
      <xdr:row>7</xdr:row>
      <xdr:rowOff>41948</xdr:rowOff>
    </xdr:from>
    <xdr:to>
      <xdr:col>8</xdr:col>
      <xdr:colOff>85958</xdr:colOff>
      <xdr:row>9</xdr:row>
      <xdr:rowOff>167177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63328" y="1420272"/>
          <a:ext cx="2594395" cy="483817"/>
        </a:xfrm>
        <a:prstGeom prst="wedgeRectCallout">
          <a:avLst>
            <a:gd name="adj1" fmla="val -69934"/>
            <a:gd name="adj2" fmla="val -65818"/>
          </a:avLst>
        </a:prstGeom>
        <a:gradFill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40">
          <a:solidFill>
            <a:srgbClr val="739CC3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marL="0" indent="0">
            <a:lnSpc>
              <a:spcPct val="100000"/>
            </a:lnSpc>
          </a:pPr>
          <a:r>
            <a:rPr lang="en-US" sz="1100" b="0" strike="noStrike" spc="-1" baseline="0">
              <a:solidFill>
                <a:srgbClr val="000000"/>
              </a:solidFill>
              <a:latin typeface="Times New Roman"/>
              <a:ea typeface="ＭＳ Ｐゴシック" panose="020B0600070205080204" pitchFamily="50" charset="-128"/>
              <a:cs typeface="+mn-cs"/>
            </a:rPr>
            <a:t>2重化電源かどうかを選びます。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2"/>
  <sheetViews>
    <sheetView showGridLines="0" tabSelected="1" zoomScaleNormal="100" workbookViewId="0"/>
  </sheetViews>
  <sheetFormatPr defaultRowHeight="14.25" x14ac:dyDescent="0.15"/>
  <sheetData>
    <row r="1" spans="1:1" ht="24" x14ac:dyDescent="0.15">
      <c r="A1" s="2"/>
    </row>
    <row r="2" spans="1:1" x14ac:dyDescent="0.15">
      <c r="A2" s="56"/>
    </row>
    <row r="27" spans="1:5" x14ac:dyDescent="0.15">
      <c r="A27" s="1"/>
      <c r="B27" s="1"/>
      <c r="C27" s="1"/>
      <c r="D27" s="1"/>
      <c r="E27" s="1"/>
    </row>
    <row r="35" spans="1:5" x14ac:dyDescent="0.15">
      <c r="D35" s="1"/>
      <c r="E35" s="1"/>
    </row>
    <row r="36" spans="1:5" x14ac:dyDescent="0.15">
      <c r="D36" s="1"/>
      <c r="E36" s="1"/>
    </row>
    <row r="37" spans="1:5" x14ac:dyDescent="0.15">
      <c r="E37" s="1"/>
    </row>
    <row r="40" spans="1:5" x14ac:dyDescent="0.15">
      <c r="A40" s="7"/>
      <c r="B40" s="1"/>
      <c r="C40" s="1"/>
      <c r="D40" s="1"/>
    </row>
    <row r="41" spans="1:5" x14ac:dyDescent="0.15">
      <c r="A41" s="8"/>
      <c r="B41" s="1"/>
      <c r="C41" s="1"/>
    </row>
    <row r="42" spans="1:5" x14ac:dyDescent="0.15">
      <c r="A42" s="8"/>
      <c r="B42" s="1"/>
      <c r="C42" s="1"/>
    </row>
  </sheetData>
  <sheetProtection algorithmName="SHA-512" hashValue="68YnbYd2PBabibobEIwH70DOEpRsCl/ARtl07V+rZT/4DBttvyFEFnzyjFFe8yyyu/uGNxrPNn7489bkSNBosw==" saltValue="n2UbOGOBFt3aDecj4X7zXA==" spinCount="100000" sheet="1" objects="1" scenarios="1"/>
  <phoneticPr fontId="5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69"/>
  <sheetViews>
    <sheetView showGridLines="0" topLeftCell="A34" zoomScale="85" zoomScaleNormal="85" workbookViewId="0">
      <selection activeCell="K56" sqref="K56"/>
    </sheetView>
  </sheetViews>
  <sheetFormatPr defaultRowHeight="14.25" x14ac:dyDescent="0.15"/>
  <cols>
    <col min="1" max="9" width="11.75" style="1" customWidth="1"/>
  </cols>
  <sheetData>
    <row r="1" spans="1:1" ht="24" x14ac:dyDescent="0.15">
      <c r="A1" s="2" t="s">
        <v>0</v>
      </c>
    </row>
    <row r="2" spans="1:1" x14ac:dyDescent="0.15">
      <c r="A2" s="65" t="s">
        <v>153</v>
      </c>
    </row>
    <row r="3" spans="1:1" ht="13.5" customHeight="1" x14ac:dyDescent="0.15">
      <c r="A3" s="3"/>
    </row>
    <row r="5" spans="1:1" ht="15" customHeight="1" x14ac:dyDescent="0.15">
      <c r="A5" s="4"/>
    </row>
    <row r="38" spans="1:5" x14ac:dyDescent="0.15">
      <c r="A38"/>
      <c r="B38"/>
      <c r="C38"/>
      <c r="D38"/>
      <c r="E38"/>
    </row>
    <row r="39" spans="1:5" x14ac:dyDescent="0.15">
      <c r="A39"/>
      <c r="B39"/>
      <c r="C39"/>
      <c r="D39"/>
      <c r="E39"/>
    </row>
    <row r="40" spans="1:5" x14ac:dyDescent="0.15">
      <c r="A40"/>
      <c r="B40"/>
      <c r="C40"/>
      <c r="D40"/>
      <c r="E40"/>
    </row>
    <row r="53" spans="1:1" x14ac:dyDescent="0.15">
      <c r="A53" s="4"/>
    </row>
    <row r="54" spans="1:1" x14ac:dyDescent="0.15">
      <c r="A54" s="4"/>
    </row>
    <row r="55" spans="1:1" x14ac:dyDescent="0.15">
      <c r="A55" s="4"/>
    </row>
    <row r="67" spans="1:1" x14ac:dyDescent="0.15">
      <c r="A67" s="1" t="s">
        <v>177</v>
      </c>
    </row>
    <row r="68" spans="1:1" x14ac:dyDescent="0.15">
      <c r="A68" s="1" t="s">
        <v>1</v>
      </c>
    </row>
    <row r="69" spans="1:1" x14ac:dyDescent="0.15">
      <c r="A69" s="1" t="s">
        <v>2</v>
      </c>
    </row>
  </sheetData>
  <sheetProtection algorithmName="SHA-512" hashValue="72ZkEmecZdxHu4cpYcJ/emNfR15aVCgGCvvQPe+FQ8jOna2mnbC+eRpXO8MH2+XJREoeIuE1vpd36FKtE1Wauw==" saltValue="52qIb9PrAbiK1JSHy4pPIA==" spinCount="100000" sheet="1" objects="1" scenarios="1"/>
  <phoneticPr fontId="5"/>
  <pageMargins left="0.75" right="0.75" top="1" bottom="1" header="0.51180555555555496" footer="0.51180555555555496"/>
  <pageSetup paperSize="9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43"/>
  <sheetViews>
    <sheetView showGridLines="0" zoomScale="70" zoomScaleNormal="70" zoomScalePageLayoutView="90" workbookViewId="0">
      <selection activeCell="D4" sqref="D4"/>
    </sheetView>
  </sheetViews>
  <sheetFormatPr defaultRowHeight="14.25" x14ac:dyDescent="0.15"/>
  <cols>
    <col min="1" max="1" width="13.25" style="5" customWidth="1"/>
    <col min="2" max="2" width="30.75" customWidth="1"/>
    <col min="3" max="3" width="13" customWidth="1"/>
    <col min="4" max="4" width="17.25" customWidth="1"/>
    <col min="5" max="5" width="11" customWidth="1"/>
    <col min="6" max="6" width="29.125" style="5" customWidth="1"/>
    <col min="7" max="10" width="11.75" style="5" customWidth="1"/>
    <col min="11" max="11" width="12" style="6" customWidth="1"/>
    <col min="12" max="12" width="11.875" style="5" customWidth="1"/>
    <col min="13" max="13" width="23.25" style="6" customWidth="1"/>
    <col min="14" max="14" width="23.25" style="5" customWidth="1"/>
    <col min="15" max="15" width="53.125" style="5" customWidth="1"/>
  </cols>
  <sheetData>
    <row r="1" spans="1:15" ht="24.75" thickBot="1" x14ac:dyDescent="0.2">
      <c r="A1" s="104" t="s">
        <v>178</v>
      </c>
      <c r="B1" s="104"/>
      <c r="C1" s="104"/>
      <c r="D1" s="104"/>
      <c r="E1" s="104"/>
      <c r="F1" s="1"/>
      <c r="G1" s="1"/>
      <c r="H1" s="1"/>
      <c r="I1" s="1"/>
      <c r="J1" s="1"/>
      <c r="K1" s="9"/>
      <c r="L1" s="1"/>
      <c r="M1" s="9"/>
      <c r="N1" s="1"/>
      <c r="O1" s="1"/>
    </row>
    <row r="2" spans="1:15" ht="15" thickBot="1" x14ac:dyDescent="0.2">
      <c r="A2" s="1"/>
      <c r="B2" s="10" t="s">
        <v>3</v>
      </c>
      <c r="C2" s="57" t="s">
        <v>152</v>
      </c>
      <c r="D2" s="11" t="s">
        <v>4</v>
      </c>
      <c r="E2" s="1"/>
      <c r="F2" s="1"/>
      <c r="G2" s="1"/>
      <c r="H2" s="1"/>
      <c r="I2" s="1"/>
      <c r="J2" s="1"/>
      <c r="K2" s="9"/>
      <c r="L2" s="1"/>
      <c r="M2" s="9"/>
      <c r="N2" s="1"/>
      <c r="O2" s="1"/>
    </row>
    <row r="3" spans="1:15" ht="15" thickBot="1" x14ac:dyDescent="0.2">
      <c r="A3" s="105" t="s">
        <v>5</v>
      </c>
      <c r="B3" s="12" t="s">
        <v>6</v>
      </c>
      <c r="C3" s="61"/>
      <c r="D3" s="29" t="s">
        <v>41</v>
      </c>
      <c r="E3" s="1"/>
      <c r="F3" s="1"/>
      <c r="G3" s="1"/>
      <c r="H3" s="1"/>
      <c r="I3" s="1"/>
      <c r="J3" s="1"/>
      <c r="K3" s="9"/>
      <c r="L3" s="1"/>
      <c r="M3" s="9"/>
      <c r="N3" s="1"/>
      <c r="O3" s="1"/>
    </row>
    <row r="4" spans="1:15" ht="30" customHeight="1" thickBot="1" x14ac:dyDescent="0.2">
      <c r="A4" s="105"/>
      <c r="B4" s="13" t="s">
        <v>8</v>
      </c>
      <c r="C4" s="62"/>
      <c r="D4" s="30" t="s">
        <v>191</v>
      </c>
      <c r="E4" s="1"/>
      <c r="F4" s="106" t="s">
        <v>10</v>
      </c>
      <c r="G4" s="108" t="s">
        <v>11</v>
      </c>
      <c r="H4" s="108"/>
      <c r="I4" s="108"/>
      <c r="J4" s="108"/>
      <c r="K4" s="108"/>
      <c r="L4" s="109"/>
      <c r="M4" s="99" t="s">
        <v>12</v>
      </c>
      <c r="N4" s="99" t="s">
        <v>13</v>
      </c>
      <c r="O4" s="101" t="s">
        <v>14</v>
      </c>
    </row>
    <row r="5" spans="1:15" ht="15" thickBot="1" x14ac:dyDescent="0.2">
      <c r="A5" s="105"/>
      <c r="B5" s="14" t="str">
        <f>IF(OR( D4 = "USF-105S",D4 = "USF-105AS"),"USF-105PS（2重化電源）","USF-212PS（2重化電源）")</f>
        <v>USF-212PS（2重化電源）</v>
      </c>
      <c r="C5" s="63"/>
      <c r="D5" s="31" t="s">
        <v>163</v>
      </c>
      <c r="E5" s="1"/>
      <c r="F5" s="107"/>
      <c r="G5" s="90" t="s">
        <v>154</v>
      </c>
      <c r="H5" s="15" t="s">
        <v>9</v>
      </c>
      <c r="I5" s="15" t="s">
        <v>15</v>
      </c>
      <c r="J5" s="15" t="s">
        <v>16</v>
      </c>
      <c r="K5" s="15" t="s">
        <v>84</v>
      </c>
      <c r="L5" s="15" t="s">
        <v>17</v>
      </c>
      <c r="M5" s="100"/>
      <c r="N5" s="100"/>
      <c r="O5" s="102"/>
    </row>
    <row r="6" spans="1:15" ht="48" customHeight="1" x14ac:dyDescent="0.15">
      <c r="A6" s="110" t="s">
        <v>63</v>
      </c>
      <c r="B6" s="70" t="s">
        <v>158</v>
      </c>
      <c r="C6" s="58">
        <v>2</v>
      </c>
      <c r="D6" s="69">
        <v>0</v>
      </c>
      <c r="E6" s="1"/>
      <c r="F6" s="80" t="s">
        <v>158</v>
      </c>
      <c r="G6" s="89" t="s">
        <v>156</v>
      </c>
      <c r="H6" s="86" t="s">
        <v>157</v>
      </c>
      <c r="I6" s="86" t="s">
        <v>72</v>
      </c>
      <c r="J6" s="86" t="s">
        <v>72</v>
      </c>
      <c r="K6" s="86" t="s">
        <v>157</v>
      </c>
      <c r="L6" s="86" t="s">
        <v>72</v>
      </c>
      <c r="M6" s="113" t="s">
        <v>166</v>
      </c>
      <c r="N6" s="114"/>
      <c r="O6" s="79" t="s">
        <v>164</v>
      </c>
    </row>
    <row r="7" spans="1:15" ht="48" customHeight="1" x14ac:dyDescent="0.15">
      <c r="A7" s="111"/>
      <c r="B7" s="74" t="s">
        <v>159</v>
      </c>
      <c r="C7" s="68">
        <v>3</v>
      </c>
      <c r="D7" s="69">
        <v>0</v>
      </c>
      <c r="E7" s="1"/>
      <c r="F7" s="95" t="s">
        <v>159</v>
      </c>
      <c r="G7" s="91" t="s">
        <v>156</v>
      </c>
      <c r="H7" s="87" t="s">
        <v>157</v>
      </c>
      <c r="I7" s="87" t="s">
        <v>72</v>
      </c>
      <c r="J7" s="87" t="s">
        <v>72</v>
      </c>
      <c r="K7" s="87" t="s">
        <v>157</v>
      </c>
      <c r="L7" s="87" t="s">
        <v>72</v>
      </c>
      <c r="M7" s="115" t="s">
        <v>166</v>
      </c>
      <c r="N7" s="116"/>
      <c r="O7" s="82" t="s">
        <v>165</v>
      </c>
    </row>
    <row r="8" spans="1:15" ht="48" customHeight="1" x14ac:dyDescent="0.15">
      <c r="A8" s="111"/>
      <c r="B8" s="74" t="s">
        <v>160</v>
      </c>
      <c r="C8" s="68">
        <v>2</v>
      </c>
      <c r="D8" s="69">
        <v>0</v>
      </c>
      <c r="E8" s="1"/>
      <c r="F8" s="95" t="s">
        <v>160</v>
      </c>
      <c r="G8" s="91" t="s">
        <v>156</v>
      </c>
      <c r="H8" s="81" t="s">
        <v>156</v>
      </c>
      <c r="I8" s="87" t="s">
        <v>72</v>
      </c>
      <c r="J8" s="87" t="s">
        <v>72</v>
      </c>
      <c r="K8" s="87" t="s">
        <v>157</v>
      </c>
      <c r="L8" s="87" t="s">
        <v>72</v>
      </c>
      <c r="M8" s="117" t="s">
        <v>174</v>
      </c>
      <c r="N8" s="116"/>
      <c r="O8" s="83" t="s">
        <v>167</v>
      </c>
    </row>
    <row r="9" spans="1:15" ht="48" customHeight="1" x14ac:dyDescent="0.15">
      <c r="A9" s="111"/>
      <c r="B9" s="74" t="s">
        <v>161</v>
      </c>
      <c r="C9" s="68">
        <v>3</v>
      </c>
      <c r="D9" s="69">
        <v>0</v>
      </c>
      <c r="E9" s="1"/>
      <c r="F9" s="95" t="s">
        <v>161</v>
      </c>
      <c r="G9" s="91" t="s">
        <v>156</v>
      </c>
      <c r="H9" s="81" t="s">
        <v>156</v>
      </c>
      <c r="I9" s="87" t="s">
        <v>72</v>
      </c>
      <c r="J9" s="87" t="s">
        <v>72</v>
      </c>
      <c r="K9" s="87" t="s">
        <v>157</v>
      </c>
      <c r="L9" s="87" t="s">
        <v>72</v>
      </c>
      <c r="M9" s="117" t="s">
        <v>175</v>
      </c>
      <c r="N9" s="116"/>
      <c r="O9" s="83" t="s">
        <v>167</v>
      </c>
    </row>
    <row r="10" spans="1:15" ht="48" customHeight="1" x14ac:dyDescent="0.15">
      <c r="A10" s="111"/>
      <c r="B10" s="74" t="s">
        <v>162</v>
      </c>
      <c r="C10" s="68">
        <v>1</v>
      </c>
      <c r="D10" s="69">
        <v>0</v>
      </c>
      <c r="E10" s="1"/>
      <c r="F10" s="96" t="s">
        <v>172</v>
      </c>
      <c r="G10" s="92" t="s">
        <v>156</v>
      </c>
      <c r="H10" s="84" t="s">
        <v>156</v>
      </c>
      <c r="I10" s="84" t="s">
        <v>156</v>
      </c>
      <c r="J10" s="84" t="s">
        <v>156</v>
      </c>
      <c r="K10" s="84" t="s">
        <v>156</v>
      </c>
      <c r="L10" s="84" t="s">
        <v>156</v>
      </c>
      <c r="M10" s="84">
        <v>2</v>
      </c>
      <c r="N10" s="84">
        <v>2</v>
      </c>
      <c r="O10" s="85" t="s">
        <v>173</v>
      </c>
    </row>
    <row r="11" spans="1:15" ht="42.75" x14ac:dyDescent="0.15">
      <c r="A11" s="111"/>
      <c r="B11" s="67" t="s">
        <v>61</v>
      </c>
      <c r="C11" s="68">
        <v>1</v>
      </c>
      <c r="D11" s="69">
        <v>0</v>
      </c>
      <c r="E11" s="1"/>
      <c r="F11" s="97" t="s">
        <v>70</v>
      </c>
      <c r="G11" s="93" t="s">
        <v>71</v>
      </c>
      <c r="H11" s="71" t="s">
        <v>71</v>
      </c>
      <c r="I11" s="71" t="s">
        <v>72</v>
      </c>
      <c r="J11" s="71" t="s">
        <v>72</v>
      </c>
      <c r="K11" s="71" t="s">
        <v>71</v>
      </c>
      <c r="L11" s="71" t="s">
        <v>72</v>
      </c>
      <c r="M11" s="71">
        <v>1</v>
      </c>
      <c r="N11" s="72" t="s">
        <v>130</v>
      </c>
      <c r="O11" s="73" t="s">
        <v>94</v>
      </c>
    </row>
    <row r="12" spans="1:15" ht="30" customHeight="1" x14ac:dyDescent="0.15">
      <c r="A12" s="111"/>
      <c r="B12" s="27" t="s">
        <v>137</v>
      </c>
      <c r="C12" s="59">
        <v>1</v>
      </c>
      <c r="D12" s="53">
        <v>0</v>
      </c>
      <c r="E12" s="1"/>
      <c r="F12" s="13" t="s">
        <v>18</v>
      </c>
      <c r="G12" s="94" t="s">
        <v>71</v>
      </c>
      <c r="H12" s="19" t="str">
        <f>IF(DataTable!D57=TRUE(),"○","×")</f>
        <v>○</v>
      </c>
      <c r="I12" s="19" t="str">
        <f>IF(DataTable!E57=TRUE(),"○","×")</f>
        <v>○</v>
      </c>
      <c r="J12" s="19" t="str">
        <f>IF(DataTable!F57=TRUE(),"○","×")</f>
        <v>○</v>
      </c>
      <c r="K12" s="19" t="s">
        <v>71</v>
      </c>
      <c r="L12" s="19" t="str">
        <f>IF(DataTable!G57=TRUE(),"○","×")</f>
        <v>×</v>
      </c>
      <c r="M12" s="19">
        <v>2</v>
      </c>
      <c r="N12" s="19">
        <v>4</v>
      </c>
      <c r="O12" s="20" t="s">
        <v>91</v>
      </c>
    </row>
    <row r="13" spans="1:15" ht="30" customHeight="1" x14ac:dyDescent="0.15">
      <c r="A13" s="111"/>
      <c r="B13" s="27" t="s">
        <v>62</v>
      </c>
      <c r="C13" s="59">
        <v>2</v>
      </c>
      <c r="D13" s="53">
        <v>0</v>
      </c>
      <c r="E13" s="1"/>
      <c r="F13" s="13" t="s">
        <v>62</v>
      </c>
      <c r="G13" s="94" t="s">
        <v>71</v>
      </c>
      <c r="H13" s="19" t="s">
        <v>71</v>
      </c>
      <c r="I13" s="19" t="s">
        <v>71</v>
      </c>
      <c r="J13" s="19" t="s">
        <v>72</v>
      </c>
      <c r="K13" s="19" t="s">
        <v>71</v>
      </c>
      <c r="L13" s="19" t="s">
        <v>71</v>
      </c>
      <c r="M13" s="19">
        <v>1</v>
      </c>
      <c r="N13" s="19">
        <v>4</v>
      </c>
      <c r="O13" s="20" t="s">
        <v>73</v>
      </c>
    </row>
    <row r="14" spans="1:15" ht="30" customHeight="1" x14ac:dyDescent="0.15">
      <c r="A14" s="111"/>
      <c r="B14" s="27" t="s">
        <v>65</v>
      </c>
      <c r="C14" s="59">
        <v>2</v>
      </c>
      <c r="D14" s="53">
        <v>0</v>
      </c>
      <c r="E14" s="1"/>
      <c r="F14" s="13" t="s">
        <v>65</v>
      </c>
      <c r="G14" s="94" t="s">
        <v>71</v>
      </c>
      <c r="H14" s="19" t="s">
        <v>71</v>
      </c>
      <c r="I14" s="19" t="s">
        <v>72</v>
      </c>
      <c r="J14" s="88" t="s">
        <v>72</v>
      </c>
      <c r="K14" s="19" t="s">
        <v>71</v>
      </c>
      <c r="L14" s="19" t="s">
        <v>72</v>
      </c>
      <c r="M14" s="19">
        <v>1</v>
      </c>
      <c r="N14" s="19">
        <v>6</v>
      </c>
      <c r="O14" s="21" t="s">
        <v>74</v>
      </c>
    </row>
    <row r="15" spans="1:15" ht="48" customHeight="1" x14ac:dyDescent="0.15">
      <c r="A15" s="111"/>
      <c r="B15" s="27" t="s">
        <v>103</v>
      </c>
      <c r="C15" s="59">
        <v>2</v>
      </c>
      <c r="D15" s="53">
        <v>0</v>
      </c>
      <c r="E15" s="1"/>
      <c r="F15" s="13" t="s">
        <v>19</v>
      </c>
      <c r="G15" s="94" t="s">
        <v>71</v>
      </c>
      <c r="H15" s="19" t="str">
        <f>IF(DataTable!D60=TRUE(),"○","×")</f>
        <v>○</v>
      </c>
      <c r="I15" s="19" t="str">
        <f>IF(DataTable!E60=TRUE(),"○","×")</f>
        <v>○</v>
      </c>
      <c r="J15" s="19" t="str">
        <f>IF(DataTable!F60=TRUE(),"○","×")</f>
        <v>×</v>
      </c>
      <c r="K15" s="19" t="s">
        <v>71</v>
      </c>
      <c r="L15" s="19" t="s">
        <v>72</v>
      </c>
      <c r="M15" s="22">
        <v>1</v>
      </c>
      <c r="N15" s="23" t="s">
        <v>117</v>
      </c>
      <c r="O15" s="24" t="s">
        <v>93</v>
      </c>
    </row>
    <row r="16" spans="1:15" ht="30" customHeight="1" x14ac:dyDescent="0.15">
      <c r="A16" s="111"/>
      <c r="B16" s="27" t="s">
        <v>104</v>
      </c>
      <c r="C16" s="59">
        <v>2</v>
      </c>
      <c r="D16" s="53">
        <v>0</v>
      </c>
      <c r="E16" s="1"/>
      <c r="F16" s="13" t="s">
        <v>20</v>
      </c>
      <c r="G16" s="94" t="s">
        <v>71</v>
      </c>
      <c r="H16" s="19" t="str">
        <f>IF(DataTable!D61=TRUE(),"○","×")</f>
        <v>○</v>
      </c>
      <c r="I16" s="19" t="str">
        <f>IF(DataTable!E61=TRUE(),"○","×")</f>
        <v>○</v>
      </c>
      <c r="J16" s="19" t="str">
        <f>IF(DataTable!F61=TRUE(),"○","×")</f>
        <v>×</v>
      </c>
      <c r="K16" s="19" t="s">
        <v>71</v>
      </c>
      <c r="L16" s="19" t="s">
        <v>72</v>
      </c>
      <c r="M16" s="19">
        <v>1</v>
      </c>
      <c r="N16" s="25" t="s">
        <v>118</v>
      </c>
      <c r="O16" s="24" t="s">
        <v>92</v>
      </c>
    </row>
    <row r="17" spans="1:16" ht="30" customHeight="1" x14ac:dyDescent="0.15">
      <c r="A17" s="111"/>
      <c r="B17" s="27" t="s">
        <v>105</v>
      </c>
      <c r="C17" s="59">
        <v>2</v>
      </c>
      <c r="D17" s="53">
        <v>0</v>
      </c>
      <c r="E17" s="1"/>
      <c r="F17" s="13" t="s">
        <v>21</v>
      </c>
      <c r="G17" s="94" t="s">
        <v>71</v>
      </c>
      <c r="H17" s="19" t="str">
        <f>IF(DataTable!D62=TRUE(),"○","×")</f>
        <v>○</v>
      </c>
      <c r="I17" s="19" t="str">
        <f>IF(DataTable!E62=TRUE(),"○","×")</f>
        <v>○</v>
      </c>
      <c r="J17" s="19" t="str">
        <f>IF(DataTable!F62=TRUE(),"○","×")</f>
        <v>○</v>
      </c>
      <c r="K17" s="19" t="s">
        <v>71</v>
      </c>
      <c r="L17" s="19" t="str">
        <f>IF(DataTable!G62=TRUE(),"○","×")</f>
        <v>×</v>
      </c>
      <c r="M17" s="23">
        <v>1</v>
      </c>
      <c r="N17" s="23" t="s">
        <v>119</v>
      </c>
      <c r="O17" s="21" t="s">
        <v>22</v>
      </c>
    </row>
    <row r="18" spans="1:16" ht="30" customHeight="1" x14ac:dyDescent="0.15">
      <c r="A18" s="111"/>
      <c r="B18" s="27" t="s">
        <v>106</v>
      </c>
      <c r="C18" s="59">
        <v>1</v>
      </c>
      <c r="D18" s="53">
        <v>0</v>
      </c>
      <c r="E18" s="1"/>
      <c r="F18" s="13" t="s">
        <v>23</v>
      </c>
      <c r="G18" s="94" t="s">
        <v>71</v>
      </c>
      <c r="H18" s="19" t="str">
        <f>IF(DataTable!D63=TRUE(),"○","×")</f>
        <v>○</v>
      </c>
      <c r="I18" s="19" t="str">
        <f>IF(DataTable!E63=TRUE(),"○","×")</f>
        <v>○</v>
      </c>
      <c r="J18" s="19" t="str">
        <f>IF(DataTable!F63=TRUE(),"○","×")</f>
        <v>×</v>
      </c>
      <c r="K18" s="19" t="s">
        <v>71</v>
      </c>
      <c r="L18" s="19" t="s">
        <v>72</v>
      </c>
      <c r="M18" s="23">
        <v>1</v>
      </c>
      <c r="N18" s="23">
        <v>5</v>
      </c>
      <c r="O18" s="24" t="s">
        <v>90</v>
      </c>
    </row>
    <row r="19" spans="1:16" ht="30" customHeight="1" x14ac:dyDescent="0.15">
      <c r="A19" s="111"/>
      <c r="B19" s="27" t="s">
        <v>60</v>
      </c>
      <c r="C19" s="59">
        <v>2</v>
      </c>
      <c r="D19" s="53">
        <v>0</v>
      </c>
      <c r="E19" s="1"/>
      <c r="F19" s="13" t="s">
        <v>60</v>
      </c>
      <c r="G19" s="94" t="s">
        <v>71</v>
      </c>
      <c r="H19" s="19" t="s">
        <v>71</v>
      </c>
      <c r="I19" s="19" t="s">
        <v>72</v>
      </c>
      <c r="J19" s="19" t="s">
        <v>72</v>
      </c>
      <c r="K19" s="19" t="s">
        <v>71</v>
      </c>
      <c r="L19" s="19" t="s">
        <v>72</v>
      </c>
      <c r="M19" s="23">
        <v>1</v>
      </c>
      <c r="N19" s="23">
        <v>11</v>
      </c>
      <c r="O19" s="24" t="s">
        <v>75</v>
      </c>
    </row>
    <row r="20" spans="1:16" ht="30" customHeight="1" x14ac:dyDescent="0.15">
      <c r="A20" s="111"/>
      <c r="B20" s="27" t="s">
        <v>138</v>
      </c>
      <c r="C20" s="59">
        <v>1</v>
      </c>
      <c r="D20" s="53">
        <v>0</v>
      </c>
      <c r="E20" s="1"/>
      <c r="F20" s="13" t="s">
        <v>24</v>
      </c>
      <c r="G20" s="94" t="s">
        <v>71</v>
      </c>
      <c r="H20" s="19" t="str">
        <f>IF(DataTable!D65=TRUE(),"○","×")</f>
        <v>○</v>
      </c>
      <c r="I20" s="19" t="str">
        <f>IF(DataTable!E65=TRUE(),"○","×")</f>
        <v>○</v>
      </c>
      <c r="J20" s="19" t="str">
        <f>IF(DataTable!F65=TRUE(),"○","×")</f>
        <v>○</v>
      </c>
      <c r="K20" s="19" t="s">
        <v>71</v>
      </c>
      <c r="L20" s="19" t="str">
        <f>IF(DataTable!G65=TRUE(),"○","×")</f>
        <v>○</v>
      </c>
      <c r="M20" s="23">
        <v>1</v>
      </c>
      <c r="N20" s="23">
        <v>5</v>
      </c>
      <c r="O20" s="21" t="s">
        <v>87</v>
      </c>
    </row>
    <row r="21" spans="1:16" ht="30" customHeight="1" x14ac:dyDescent="0.15">
      <c r="A21" s="111"/>
      <c r="B21" s="27" t="s">
        <v>139</v>
      </c>
      <c r="C21" s="59">
        <v>1</v>
      </c>
      <c r="D21" s="53">
        <v>0</v>
      </c>
      <c r="E21" s="1"/>
      <c r="F21" s="13" t="s">
        <v>25</v>
      </c>
      <c r="G21" s="94" t="s">
        <v>168</v>
      </c>
      <c r="H21" s="19" t="s">
        <v>168</v>
      </c>
      <c r="I21" s="19" t="s">
        <v>168</v>
      </c>
      <c r="J21" s="19" t="str">
        <f>IF(DataTable!F66=TRUE(),"○","×")</f>
        <v>○</v>
      </c>
      <c r="K21" s="19" t="s">
        <v>168</v>
      </c>
      <c r="L21" s="19" t="s">
        <v>168</v>
      </c>
      <c r="M21" s="23">
        <v>1</v>
      </c>
      <c r="N21" s="23">
        <v>4</v>
      </c>
      <c r="O21" s="21" t="s">
        <v>133</v>
      </c>
    </row>
    <row r="22" spans="1:16" ht="30" customHeight="1" x14ac:dyDescent="0.15">
      <c r="A22" s="111"/>
      <c r="B22" s="27" t="s">
        <v>140</v>
      </c>
      <c r="C22" s="59">
        <v>1</v>
      </c>
      <c r="D22" s="53">
        <v>0</v>
      </c>
      <c r="E22" s="1"/>
      <c r="F22" s="13" t="s">
        <v>26</v>
      </c>
      <c r="G22" s="94" t="s">
        <v>71</v>
      </c>
      <c r="H22" s="19" t="str">
        <f>IF(DataTable!D67=TRUE(),"○","×")</f>
        <v>○</v>
      </c>
      <c r="I22" s="19" t="str">
        <f>IF(DataTable!E67=TRUE(),"○","×")</f>
        <v>○</v>
      </c>
      <c r="J22" s="19" t="str">
        <f>IF(DataTable!F67=TRUE(),"○","×")</f>
        <v>○</v>
      </c>
      <c r="K22" s="19" t="s">
        <v>71</v>
      </c>
      <c r="L22" s="19" t="str">
        <f>IF(DataTable!G67=TRUE(),"○","×")</f>
        <v>×</v>
      </c>
      <c r="M22" s="23">
        <v>1</v>
      </c>
      <c r="N22" s="23">
        <v>4</v>
      </c>
      <c r="O22" s="24" t="s">
        <v>134</v>
      </c>
    </row>
    <row r="23" spans="1:16" ht="30" customHeight="1" x14ac:dyDescent="0.15">
      <c r="A23" s="111"/>
      <c r="B23" s="27" t="s">
        <v>141</v>
      </c>
      <c r="C23" s="59">
        <v>2</v>
      </c>
      <c r="D23" s="53">
        <v>0</v>
      </c>
      <c r="E23" s="1"/>
      <c r="F23" s="13" t="s">
        <v>27</v>
      </c>
      <c r="G23" s="94" t="s">
        <v>168</v>
      </c>
      <c r="H23" s="19" t="s">
        <v>168</v>
      </c>
      <c r="I23" s="19" t="s">
        <v>168</v>
      </c>
      <c r="J23" s="19" t="str">
        <f>IF(DataTable!F68=TRUE(),"○","×")</f>
        <v>○</v>
      </c>
      <c r="K23" s="19" t="s">
        <v>168</v>
      </c>
      <c r="L23" s="19" t="s">
        <v>168</v>
      </c>
      <c r="M23" s="23">
        <v>1</v>
      </c>
      <c r="N23" s="23">
        <v>10</v>
      </c>
      <c r="O23" s="24" t="s">
        <v>135</v>
      </c>
    </row>
    <row r="24" spans="1:16" ht="30" customHeight="1" x14ac:dyDescent="0.15">
      <c r="A24" s="111"/>
      <c r="B24" s="27" t="s">
        <v>142</v>
      </c>
      <c r="C24" s="59">
        <v>2</v>
      </c>
      <c r="D24" s="53">
        <v>0</v>
      </c>
      <c r="E24" s="1"/>
      <c r="F24" s="13" t="s">
        <v>28</v>
      </c>
      <c r="G24" s="94" t="s">
        <v>71</v>
      </c>
      <c r="H24" s="19" t="str">
        <f>IF(DataTable!D69=TRUE(),"○","×")</f>
        <v>○</v>
      </c>
      <c r="I24" s="19" t="str">
        <f>IF(DataTable!E69=TRUE(),"○","×")</f>
        <v>○</v>
      </c>
      <c r="J24" s="19" t="str">
        <f>IF(DataTable!F69=TRUE(),"○","×")</f>
        <v>○</v>
      </c>
      <c r="K24" s="19" t="s">
        <v>71</v>
      </c>
      <c r="L24" s="19" t="str">
        <f>IF(DataTable!G69=TRUE(),"○","×")</f>
        <v>×</v>
      </c>
      <c r="M24" s="23">
        <v>1</v>
      </c>
      <c r="N24" s="23">
        <v>10</v>
      </c>
      <c r="O24" s="24" t="s">
        <v>131</v>
      </c>
    </row>
    <row r="25" spans="1:16" ht="30" customHeight="1" x14ac:dyDescent="0.15">
      <c r="A25" s="111"/>
      <c r="B25" s="27" t="s">
        <v>143</v>
      </c>
      <c r="C25" s="59">
        <v>2</v>
      </c>
      <c r="D25" s="53">
        <v>0</v>
      </c>
      <c r="E25" s="1"/>
      <c r="F25" s="13" t="s">
        <v>66</v>
      </c>
      <c r="G25" s="94" t="s">
        <v>71</v>
      </c>
      <c r="H25" s="19" t="s">
        <v>71</v>
      </c>
      <c r="I25" s="19" t="s">
        <v>71</v>
      </c>
      <c r="J25" s="19" t="s">
        <v>72</v>
      </c>
      <c r="K25" s="19" t="s">
        <v>71</v>
      </c>
      <c r="L25" s="19" t="s">
        <v>71</v>
      </c>
      <c r="M25" s="23">
        <v>1</v>
      </c>
      <c r="N25" s="23">
        <v>4</v>
      </c>
      <c r="O25" s="24" t="s">
        <v>79</v>
      </c>
    </row>
    <row r="26" spans="1:16" ht="30" customHeight="1" x14ac:dyDescent="0.15">
      <c r="A26" s="111"/>
      <c r="B26" s="27" t="s">
        <v>144</v>
      </c>
      <c r="C26" s="59">
        <v>1</v>
      </c>
      <c r="D26" s="53">
        <v>0</v>
      </c>
      <c r="E26" s="1"/>
      <c r="F26" s="13" t="s">
        <v>64</v>
      </c>
      <c r="G26" s="94" t="s">
        <v>71</v>
      </c>
      <c r="H26" s="19" t="s">
        <v>71</v>
      </c>
      <c r="I26" s="19" t="s">
        <v>71</v>
      </c>
      <c r="J26" s="19" t="s">
        <v>72</v>
      </c>
      <c r="K26" s="19" t="s">
        <v>71</v>
      </c>
      <c r="L26" s="19" t="s">
        <v>71</v>
      </c>
      <c r="M26" s="23">
        <v>2</v>
      </c>
      <c r="N26" s="23">
        <v>4</v>
      </c>
      <c r="O26" s="24" t="s">
        <v>86</v>
      </c>
    </row>
    <row r="27" spans="1:16" ht="30" customHeight="1" x14ac:dyDescent="0.15">
      <c r="A27" s="111"/>
      <c r="B27" s="27" t="s">
        <v>67</v>
      </c>
      <c r="C27" s="59">
        <v>2</v>
      </c>
      <c r="D27" s="53">
        <v>0</v>
      </c>
      <c r="E27" s="1"/>
      <c r="F27" s="13" t="s">
        <v>76</v>
      </c>
      <c r="G27" s="94" t="s">
        <v>71</v>
      </c>
      <c r="H27" s="19" t="s">
        <v>77</v>
      </c>
      <c r="I27" s="19" t="s">
        <v>72</v>
      </c>
      <c r="J27" s="19" t="s">
        <v>72</v>
      </c>
      <c r="K27" s="19" t="s">
        <v>71</v>
      </c>
      <c r="L27" s="19" t="s">
        <v>72</v>
      </c>
      <c r="M27" s="23" t="s">
        <v>120</v>
      </c>
      <c r="N27" s="23" t="s">
        <v>120</v>
      </c>
      <c r="O27" s="24" t="s">
        <v>80</v>
      </c>
      <c r="P27" s="5"/>
    </row>
    <row r="28" spans="1:16" ht="30" customHeight="1" x14ac:dyDescent="0.15">
      <c r="A28" s="111"/>
      <c r="B28" s="27" t="s">
        <v>145</v>
      </c>
      <c r="C28" s="59">
        <v>2</v>
      </c>
      <c r="D28" s="53">
        <v>0</v>
      </c>
      <c r="E28" s="1"/>
      <c r="F28" s="13" t="s">
        <v>68</v>
      </c>
      <c r="G28" s="94" t="s">
        <v>71</v>
      </c>
      <c r="H28" s="19" t="s">
        <v>78</v>
      </c>
      <c r="I28" s="19" t="s">
        <v>72</v>
      </c>
      <c r="J28" s="19" t="s">
        <v>72</v>
      </c>
      <c r="K28" s="19" t="s">
        <v>71</v>
      </c>
      <c r="L28" s="19" t="s">
        <v>72</v>
      </c>
      <c r="M28" s="23" t="s">
        <v>121</v>
      </c>
      <c r="N28" s="23" t="s">
        <v>121</v>
      </c>
      <c r="O28" s="24" t="s">
        <v>81</v>
      </c>
    </row>
    <row r="29" spans="1:16" ht="30" customHeight="1" x14ac:dyDescent="0.15">
      <c r="A29" s="111"/>
      <c r="B29" s="27" t="s">
        <v>146</v>
      </c>
      <c r="C29" s="59">
        <v>1</v>
      </c>
      <c r="D29" s="53">
        <v>0</v>
      </c>
      <c r="E29" s="1"/>
      <c r="F29" s="13" t="s">
        <v>29</v>
      </c>
      <c r="G29" s="94" t="s">
        <v>71</v>
      </c>
      <c r="H29" s="19" t="str">
        <f>IF(DataTable!D74=TRUE(),"○","×")</f>
        <v>○</v>
      </c>
      <c r="I29" s="19" t="str">
        <f>IF(DataTable!E74=TRUE(),"○","×")</f>
        <v>○</v>
      </c>
      <c r="J29" s="19" t="str">
        <f>IF(DataTable!F74=TRUE(),"○","×")</f>
        <v>○</v>
      </c>
      <c r="K29" s="19" t="s">
        <v>71</v>
      </c>
      <c r="L29" s="19" t="str">
        <f>IF(DataTable!G74=TRUE(),"○","×")</f>
        <v>×</v>
      </c>
      <c r="M29" s="23" t="s">
        <v>122</v>
      </c>
      <c r="N29" s="19">
        <v>1</v>
      </c>
      <c r="O29" s="21" t="s">
        <v>88</v>
      </c>
    </row>
    <row r="30" spans="1:16" ht="30" customHeight="1" x14ac:dyDescent="0.15">
      <c r="A30" s="111"/>
      <c r="B30" s="27" t="s">
        <v>147</v>
      </c>
      <c r="C30" s="59">
        <v>1</v>
      </c>
      <c r="D30" s="53">
        <v>0</v>
      </c>
      <c r="E30" s="1"/>
      <c r="F30" s="13" t="s">
        <v>30</v>
      </c>
      <c r="G30" s="94" t="s">
        <v>71</v>
      </c>
      <c r="H30" s="19" t="str">
        <f>IF(DataTable!D75=TRUE(),"○","×")</f>
        <v>○</v>
      </c>
      <c r="I30" s="19" t="str">
        <f>IF(DataTable!E75=TRUE(),"○","×")</f>
        <v>○</v>
      </c>
      <c r="J30" s="19" t="str">
        <f>IF(DataTable!F75=TRUE(),"○","×")</f>
        <v>○</v>
      </c>
      <c r="K30" s="19" t="s">
        <v>71</v>
      </c>
      <c r="L30" s="19" t="str">
        <f>IF(DataTable!G75=TRUE(),"○","×")</f>
        <v>×</v>
      </c>
      <c r="M30" s="23">
        <v>1</v>
      </c>
      <c r="N30" s="23" t="s">
        <v>122</v>
      </c>
      <c r="O30" s="21" t="s">
        <v>89</v>
      </c>
    </row>
    <row r="31" spans="1:16" ht="30" customHeight="1" x14ac:dyDescent="0.15">
      <c r="A31" s="111"/>
      <c r="B31" s="27" t="s">
        <v>59</v>
      </c>
      <c r="C31" s="59">
        <v>1</v>
      </c>
      <c r="D31" s="53">
        <v>0</v>
      </c>
      <c r="E31" s="1"/>
      <c r="F31" s="13" t="s">
        <v>59</v>
      </c>
      <c r="G31" s="94" t="s">
        <v>71</v>
      </c>
      <c r="H31" s="19" t="str">
        <f>IF(DataTable!D76=TRUE(),"○","×")</f>
        <v>○</v>
      </c>
      <c r="I31" s="19" t="str">
        <f>IF(DataTable!E76=TRUE(),"○","×")</f>
        <v>○</v>
      </c>
      <c r="J31" s="19" t="str">
        <f>IF(DataTable!F76=TRUE(),"○","×")</f>
        <v>○</v>
      </c>
      <c r="K31" s="19" t="s">
        <v>71</v>
      </c>
      <c r="L31" s="19" t="str">
        <f>IF(DataTable!G76=TRUE(),"○","×")</f>
        <v>○</v>
      </c>
      <c r="M31" s="23" t="s">
        <v>123</v>
      </c>
      <c r="N31" s="23" t="s">
        <v>124</v>
      </c>
      <c r="O31" s="21" t="s">
        <v>32</v>
      </c>
      <c r="P31" s="5"/>
    </row>
    <row r="32" spans="1:16" ht="30" customHeight="1" x14ac:dyDescent="0.15">
      <c r="A32" s="111"/>
      <c r="B32" s="27" t="s">
        <v>148</v>
      </c>
      <c r="C32" s="59">
        <v>1</v>
      </c>
      <c r="D32" s="53">
        <v>0</v>
      </c>
      <c r="E32" s="1"/>
      <c r="F32" s="13" t="s">
        <v>33</v>
      </c>
      <c r="G32" s="94" t="s">
        <v>71</v>
      </c>
      <c r="H32" s="19" t="str">
        <f>IF(DataTable!D77=TRUE(),"○","×")</f>
        <v>○</v>
      </c>
      <c r="I32" s="19" t="str">
        <f>IF(DataTable!E77=TRUE(),"○","×")</f>
        <v>○</v>
      </c>
      <c r="J32" s="19" t="str">
        <f>IF(DataTable!F77=TRUE(),"○","×")</f>
        <v>○</v>
      </c>
      <c r="K32" s="19" t="s">
        <v>71</v>
      </c>
      <c r="L32" s="19" t="str">
        <f>IF(DataTable!G77=TRUE(),"○","×")</f>
        <v>○</v>
      </c>
      <c r="M32" s="23" t="s">
        <v>126</v>
      </c>
      <c r="N32" s="23" t="s">
        <v>125</v>
      </c>
      <c r="O32" s="21" t="s">
        <v>82</v>
      </c>
    </row>
    <row r="33" spans="1:15" ht="30" customHeight="1" x14ac:dyDescent="0.15">
      <c r="A33" s="111"/>
      <c r="B33" s="27" t="s">
        <v>69</v>
      </c>
      <c r="C33" s="59">
        <v>1</v>
      </c>
      <c r="D33" s="53">
        <v>0</v>
      </c>
      <c r="E33" s="1"/>
      <c r="F33" s="13" t="s">
        <v>69</v>
      </c>
      <c r="G33" s="94" t="s">
        <v>71</v>
      </c>
      <c r="H33" s="19" t="s">
        <v>71</v>
      </c>
      <c r="I33" s="19" t="s">
        <v>71</v>
      </c>
      <c r="J33" s="19" t="s">
        <v>72</v>
      </c>
      <c r="K33" s="19" t="s">
        <v>71</v>
      </c>
      <c r="L33" s="19" t="s">
        <v>71</v>
      </c>
      <c r="M33" s="23" t="s">
        <v>125</v>
      </c>
      <c r="N33" s="23" t="s">
        <v>127</v>
      </c>
      <c r="O33" s="21" t="s">
        <v>82</v>
      </c>
    </row>
    <row r="34" spans="1:15" ht="30" customHeight="1" x14ac:dyDescent="0.15">
      <c r="A34" s="111"/>
      <c r="B34" s="27" t="s">
        <v>149</v>
      </c>
      <c r="C34" s="59">
        <v>1</v>
      </c>
      <c r="D34" s="53">
        <v>0</v>
      </c>
      <c r="E34" s="1"/>
      <c r="F34" s="13" t="s">
        <v>34</v>
      </c>
      <c r="G34" s="94" t="s">
        <v>168</v>
      </c>
      <c r="H34" s="19" t="s">
        <v>169</v>
      </c>
      <c r="I34" s="19" t="s">
        <v>168</v>
      </c>
      <c r="J34" s="19" t="str">
        <f>IF(DataTable!F79=TRUE(),"○","×")</f>
        <v>○</v>
      </c>
      <c r="K34" s="19" t="s">
        <v>168</v>
      </c>
      <c r="L34" s="19" t="s">
        <v>168</v>
      </c>
      <c r="M34" s="23" t="s">
        <v>129</v>
      </c>
      <c r="N34" s="23" t="s">
        <v>128</v>
      </c>
      <c r="O34" s="21" t="s">
        <v>136</v>
      </c>
    </row>
    <row r="35" spans="1:15" ht="30" customHeight="1" thickBot="1" x14ac:dyDescent="0.2">
      <c r="A35" s="111"/>
      <c r="B35" s="27" t="s">
        <v>150</v>
      </c>
      <c r="C35" s="59">
        <v>1</v>
      </c>
      <c r="D35" s="53">
        <v>0</v>
      </c>
      <c r="E35" s="1"/>
      <c r="F35" s="14" t="s">
        <v>35</v>
      </c>
      <c r="G35" s="90" t="s">
        <v>71</v>
      </c>
      <c r="H35" s="15" t="str">
        <f>IF(DataTable!D80=TRUE(),"○","×")</f>
        <v>○</v>
      </c>
      <c r="I35" s="15" t="str">
        <f>IF(DataTable!E80=TRUE(),"○","×")</f>
        <v>○</v>
      </c>
      <c r="J35" s="15" t="str">
        <f>IF(DataTable!F80=TRUE(),"○","×")</f>
        <v>○</v>
      </c>
      <c r="K35" s="15" t="s">
        <v>71</v>
      </c>
      <c r="L35" s="15" t="str">
        <f>IF(DataTable!G80=TRUE(),"○","×")</f>
        <v>×</v>
      </c>
      <c r="M35" s="15" t="s">
        <v>129</v>
      </c>
      <c r="N35" s="15" t="s">
        <v>128</v>
      </c>
      <c r="O35" s="26" t="s">
        <v>132</v>
      </c>
    </row>
    <row r="36" spans="1:15" ht="30" customHeight="1" thickBot="1" x14ac:dyDescent="0.2">
      <c r="A36" s="112"/>
      <c r="B36" s="28" t="s">
        <v>151</v>
      </c>
      <c r="C36" s="60">
        <v>1</v>
      </c>
      <c r="D36" s="54">
        <f>DataTable!J81</f>
        <v>0</v>
      </c>
      <c r="E36" s="1"/>
      <c r="F36" s="78" t="s">
        <v>170</v>
      </c>
      <c r="G36" s="1"/>
      <c r="H36" s="1"/>
      <c r="I36" s="1"/>
      <c r="J36" s="1"/>
      <c r="K36" s="9"/>
      <c r="L36" s="1"/>
      <c r="M36" s="9"/>
      <c r="N36" s="1"/>
      <c r="O36" s="1"/>
    </row>
    <row r="37" spans="1:15" x14ac:dyDescent="0.15">
      <c r="A37" s="1"/>
      <c r="B37" s="1"/>
      <c r="C37" s="1"/>
      <c r="D37" s="1"/>
      <c r="E37" s="1"/>
      <c r="F37" s="77" t="s">
        <v>171</v>
      </c>
      <c r="G37" s="1"/>
      <c r="H37" s="1"/>
      <c r="I37" s="1"/>
      <c r="J37" s="1"/>
      <c r="K37" s="9"/>
      <c r="L37" s="1"/>
      <c r="M37" s="9"/>
      <c r="N37" s="1"/>
      <c r="O37" s="1"/>
    </row>
    <row r="38" spans="1:15" x14ac:dyDescent="0.15">
      <c r="A38" s="1"/>
      <c r="B38" s="1"/>
      <c r="C38" s="1"/>
      <c r="D38" s="1"/>
      <c r="E38" s="1"/>
      <c r="F38" s="77" t="s">
        <v>176</v>
      </c>
      <c r="G38" s="1"/>
      <c r="H38" s="1"/>
      <c r="I38" s="1"/>
      <c r="J38" s="1"/>
      <c r="K38" s="9"/>
      <c r="L38" s="1"/>
      <c r="M38" s="9"/>
      <c r="N38" s="1"/>
      <c r="O38" s="1"/>
    </row>
    <row r="39" spans="1:15" x14ac:dyDescent="0.15">
      <c r="A39" s="103" t="s">
        <v>36</v>
      </c>
      <c r="B39" s="16" t="s">
        <v>37</v>
      </c>
      <c r="C39" s="55"/>
      <c r="D39" s="17" t="str">
        <f>IF(AND(DataTable!J82,DataTable!L82),"実装可能 ("&amp;SUM(DataTable!J51:J81)&amp;"/"&amp;DataTable!J50&amp;")","実装不可 ("&amp;SUM(DataTable!J51:J81)&amp;"/"&amp;DataTable!J50&amp;")")</f>
        <v>実装可能 (0/12)</v>
      </c>
      <c r="E39" s="1"/>
      <c r="F39" s="1"/>
      <c r="G39" s="1"/>
      <c r="H39" s="1"/>
      <c r="I39" s="1"/>
      <c r="J39" s="1"/>
      <c r="K39" s="9"/>
      <c r="L39" s="1"/>
      <c r="M39" s="9"/>
      <c r="N39" s="1"/>
      <c r="O39" s="1"/>
    </row>
    <row r="40" spans="1:15" x14ac:dyDescent="0.15">
      <c r="A40" s="103"/>
      <c r="B40" s="16" t="s">
        <v>38</v>
      </c>
      <c r="C40" s="55"/>
      <c r="D40" s="18">
        <f>DataTable!M46</f>
        <v>54.6</v>
      </c>
      <c r="E40" s="1"/>
      <c r="F40" s="1"/>
      <c r="G40" s="1"/>
      <c r="H40" s="1"/>
      <c r="I40" s="1"/>
      <c r="J40" s="1"/>
      <c r="K40" s="9"/>
      <c r="L40" s="1"/>
      <c r="M40" s="9"/>
      <c r="N40" s="1"/>
      <c r="O40" s="1"/>
    </row>
    <row r="41" spans="1:15" x14ac:dyDescent="0.15">
      <c r="A41" s="103"/>
      <c r="B41" s="16" t="s">
        <v>39</v>
      </c>
      <c r="C41" s="55"/>
      <c r="D41" s="18">
        <f>DataTable!N46</f>
        <v>60.2</v>
      </c>
      <c r="E41" s="1"/>
      <c r="F41" s="1"/>
      <c r="G41" s="1"/>
      <c r="H41" s="1"/>
      <c r="I41" s="1"/>
      <c r="J41" s="1"/>
      <c r="K41" s="9"/>
      <c r="L41" s="1"/>
      <c r="M41" s="9"/>
      <c r="N41" s="1"/>
      <c r="O41" s="1"/>
    </row>
    <row r="42" spans="1:15" x14ac:dyDescent="0.15">
      <c r="A42" s="4" t="s">
        <v>40</v>
      </c>
      <c r="B42" s="1"/>
      <c r="C42" s="1"/>
      <c r="D42" s="1"/>
      <c r="E42" s="1"/>
      <c r="F42" s="1"/>
      <c r="G42" s="1"/>
      <c r="H42" s="1"/>
      <c r="I42" s="1"/>
      <c r="J42" s="1"/>
      <c r="K42" s="9"/>
      <c r="L42" s="1"/>
      <c r="M42" s="9"/>
      <c r="N42" s="1"/>
      <c r="O42" s="1"/>
    </row>
    <row r="43" spans="1:1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9"/>
      <c r="L43" s="1"/>
      <c r="M43" s="9"/>
      <c r="N43" s="1"/>
      <c r="O43" s="1"/>
    </row>
  </sheetData>
  <sheetProtection algorithmName="SHA-512" hashValue="cdpUexhjwZqICdWhSFiUQl2C8FFAfoJOpEtzJB92SngB23M9tmpUSKQneR5xyCJpYbH28meZknb2/S2nGewPqA==" saltValue="FMq57FZW7QtcpDkSGdDhTw==" spinCount="100000" sheet="1" objects="1" scenarios="1"/>
  <dataConsolidate/>
  <mergeCells count="13">
    <mergeCell ref="N4:N5"/>
    <mergeCell ref="O4:O5"/>
    <mergeCell ref="A39:A41"/>
    <mergeCell ref="A1:E1"/>
    <mergeCell ref="A3:A5"/>
    <mergeCell ref="F4:F5"/>
    <mergeCell ref="M4:M5"/>
    <mergeCell ref="G4:L4"/>
    <mergeCell ref="A6:A36"/>
    <mergeCell ref="M6:N6"/>
    <mergeCell ref="M7:N7"/>
    <mergeCell ref="M8:N8"/>
    <mergeCell ref="M9:N9"/>
  </mergeCells>
  <phoneticPr fontId="5"/>
  <conditionalFormatting sqref="D39">
    <cfRule type="containsText" dxfId="25" priority="55" operator="containsText" text="実装不可">
      <formula>NOT(ISERROR(SEARCH("実装不可",D39)))</formula>
    </cfRule>
  </conditionalFormatting>
  <conditionalFormatting sqref="H11:L20 H22:L22 J21 H24:L35 J23">
    <cfRule type="cellIs" dxfId="24" priority="59" operator="equal">
      <formula>"×"</formula>
    </cfRule>
  </conditionalFormatting>
  <conditionalFormatting sqref="J21">
    <cfRule type="cellIs" dxfId="23" priority="62" operator="equal">
      <formula>"×"</formula>
    </cfRule>
  </conditionalFormatting>
  <conditionalFormatting sqref="J23">
    <cfRule type="cellIs" dxfId="22" priority="63" operator="equal">
      <formula>"×"</formula>
    </cfRule>
  </conditionalFormatting>
  <conditionalFormatting sqref="H34">
    <cfRule type="cellIs" dxfId="21" priority="64" operator="equal">
      <formula>"×"</formula>
    </cfRule>
  </conditionalFormatting>
  <conditionalFormatting sqref="K12:K20 K22 K24:K35">
    <cfRule type="cellIs" dxfId="20" priority="31" operator="equal">
      <formula>"×"</formula>
    </cfRule>
  </conditionalFormatting>
  <conditionalFormatting sqref="G11:G35">
    <cfRule type="cellIs" dxfId="19" priority="28" operator="equal">
      <formula>"×"</formula>
    </cfRule>
  </conditionalFormatting>
  <conditionalFormatting sqref="G12:G35">
    <cfRule type="cellIs" dxfId="18" priority="27" operator="equal">
      <formula>"×"</formula>
    </cfRule>
  </conditionalFormatting>
  <conditionalFormatting sqref="H21">
    <cfRule type="cellIs" dxfId="17" priority="16" operator="equal">
      <formula>"×"</formula>
    </cfRule>
  </conditionalFormatting>
  <conditionalFormatting sqref="H21">
    <cfRule type="cellIs" dxfId="16" priority="15" operator="equal">
      <formula>"×"</formula>
    </cfRule>
  </conditionalFormatting>
  <conditionalFormatting sqref="I21">
    <cfRule type="cellIs" dxfId="15" priority="14" operator="equal">
      <formula>"×"</formula>
    </cfRule>
  </conditionalFormatting>
  <conditionalFormatting sqref="I21">
    <cfRule type="cellIs" dxfId="14" priority="13" operator="equal">
      <formula>"×"</formula>
    </cfRule>
  </conditionalFormatting>
  <conditionalFormatting sqref="K21">
    <cfRule type="cellIs" dxfId="13" priority="12" operator="equal">
      <formula>"×"</formula>
    </cfRule>
  </conditionalFormatting>
  <conditionalFormatting sqref="K21">
    <cfRule type="cellIs" dxfId="12" priority="11" operator="equal">
      <formula>"×"</formula>
    </cfRule>
  </conditionalFormatting>
  <conditionalFormatting sqref="L21">
    <cfRule type="cellIs" dxfId="11" priority="10" operator="equal">
      <formula>"×"</formula>
    </cfRule>
  </conditionalFormatting>
  <conditionalFormatting sqref="L21">
    <cfRule type="cellIs" dxfId="10" priority="9" operator="equal">
      <formula>"×"</formula>
    </cfRule>
  </conditionalFormatting>
  <conditionalFormatting sqref="L23">
    <cfRule type="cellIs" dxfId="9" priority="8" operator="equal">
      <formula>"×"</formula>
    </cfRule>
  </conditionalFormatting>
  <conditionalFormatting sqref="L23">
    <cfRule type="cellIs" dxfId="8" priority="7" operator="equal">
      <formula>"×"</formula>
    </cfRule>
  </conditionalFormatting>
  <conditionalFormatting sqref="K23">
    <cfRule type="cellIs" dxfId="7" priority="6" operator="equal">
      <formula>"×"</formula>
    </cfRule>
  </conditionalFormatting>
  <conditionalFormatting sqref="K23">
    <cfRule type="cellIs" dxfId="6" priority="5" operator="equal">
      <formula>"×"</formula>
    </cfRule>
  </conditionalFormatting>
  <conditionalFormatting sqref="I23">
    <cfRule type="cellIs" dxfId="5" priority="4" operator="equal">
      <formula>"×"</formula>
    </cfRule>
  </conditionalFormatting>
  <conditionalFormatting sqref="I23">
    <cfRule type="cellIs" dxfId="4" priority="3" operator="equal">
      <formula>"×"</formula>
    </cfRule>
  </conditionalFormatting>
  <conditionalFormatting sqref="H23">
    <cfRule type="cellIs" dxfId="3" priority="2" operator="equal">
      <formula>"×"</formula>
    </cfRule>
  </conditionalFormatting>
  <conditionalFormatting sqref="H23">
    <cfRule type="cellIs" dxfId="2" priority="1" operator="equal">
      <formula>"×"</formula>
    </cfRule>
  </conditionalFormatting>
  <dataValidations count="1">
    <dataValidation allowBlank="1" showErrorMessage="1" sqref="D6:D35" xr:uid="{00000000-0002-0000-0200-000000000000}">
      <formula1>0</formula1>
      <formula2>12</formula2>
    </dataValidation>
  </dataValidations>
  <pageMargins left="0.74803149606299213" right="0.74803149606299213" top="0.98425196850393704" bottom="0.98425196850393704" header="0.51181102362204722" footer="0.51181102362204722"/>
  <pageSetup paperSize="9" scale="28" firstPageNumber="0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5" id="{73DAA52F-7478-472E-943B-B7A968FE7CAA}">
            <xm:f>DataTable!K51</xm:f>
            <x14:dxf>
              <font>
                <b val="0"/>
                <i val="0"/>
                <strike val="0"/>
              </font>
              <fill>
                <patternFill>
                  <bgColor theme="7" tint="0.79998168889431442"/>
                </patternFill>
              </fill>
            </x14:dxf>
          </x14:cfRule>
          <xm:sqref>D6:D35</xm:sqref>
        </x14:conditionalFormatting>
        <x14:conditionalFormatting xmlns:xm="http://schemas.microsoft.com/office/excel/2006/main">
          <x14:cfRule type="expression" priority="66" id="{E8EB8610-23A3-4DD1-BAA4-1608F18729D2}">
            <xm:f>NOT(DataTable!K51)</xm:f>
            <x14:dxf>
              <font>
                <b val="0"/>
                <i val="0"/>
                <color theme="1" tint="0.499984740745262"/>
              </font>
              <fill>
                <patternFill>
                  <bgColor theme="2" tint="-9.9948118533890809E-2"/>
                </patternFill>
              </fill>
            </x14:dxf>
          </x14:cfRule>
          <xm:sqref>D6:D36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 xr:uid="{00000000-0002-0000-0200-000001000000}">
          <x14:formula1>
            <xm:f>DataTable!$B$87:$B$90</xm:f>
          </x14:formula1>
          <x14:formula2>
            <xm:f>0</xm:f>
          </x14:formula2>
          <xm:sqref>D3</xm:sqref>
        </x14:dataValidation>
        <x14:dataValidation type="list" operator="equal" allowBlank="1" showErrorMessage="1" xr:uid="{00000000-0002-0000-0200-000002000000}">
          <x14:formula1>
            <xm:f>DataTable!$C$87:$C$92</xm:f>
          </x14:formula1>
          <xm:sqref>D4</xm:sqref>
        </x14:dataValidation>
        <x14:dataValidation type="list" operator="equal" allowBlank="1" showErrorMessage="1" xr:uid="{00000000-0002-0000-0200-000003000000}">
          <x14:formula1>
            <xm:f>DataTable!$D$87:$D$88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12"/>
  <sheetViews>
    <sheetView topLeftCell="A31" zoomScale="55" zoomScaleNormal="55" zoomScaleSheetLayoutView="70" workbookViewId="0">
      <selection activeCell="H68" sqref="H68"/>
    </sheetView>
  </sheetViews>
  <sheetFormatPr defaultRowHeight="14.25" x14ac:dyDescent="0.15"/>
  <cols>
    <col min="1" max="1" width="3.75" style="5" customWidth="1"/>
    <col min="2" max="2" width="30.25" style="5" customWidth="1"/>
    <col min="3" max="4" width="12.75" style="5" customWidth="1"/>
    <col min="5" max="5" width="14.75" style="5" customWidth="1"/>
    <col min="6" max="14" width="12.75" style="5" customWidth="1"/>
  </cols>
  <sheetData>
    <row r="1" spans="1:14" s="5" customFormat="1" x14ac:dyDescent="0.15">
      <c r="A1" s="32"/>
      <c r="B1" s="32"/>
      <c r="C1" s="121" t="s">
        <v>96</v>
      </c>
      <c r="D1" s="122"/>
      <c r="E1" s="122"/>
      <c r="F1" s="123"/>
      <c r="G1" s="121" t="s">
        <v>97</v>
      </c>
      <c r="H1" s="122"/>
      <c r="I1" s="122"/>
      <c r="J1" s="123"/>
      <c r="K1" s="33" t="s">
        <v>98</v>
      </c>
      <c r="L1" s="33" t="s">
        <v>99</v>
      </c>
      <c r="M1" s="33" t="s">
        <v>98</v>
      </c>
      <c r="N1" s="33" t="s">
        <v>99</v>
      </c>
    </row>
    <row r="2" spans="1:14" s="5" customFormat="1" x14ac:dyDescent="0.15">
      <c r="A2" s="32">
        <v>1</v>
      </c>
      <c r="B2" s="32"/>
      <c r="C2" s="33" t="s">
        <v>41</v>
      </c>
      <c r="D2" s="33" t="s">
        <v>7</v>
      </c>
      <c r="E2" s="33" t="s">
        <v>42</v>
      </c>
      <c r="F2" s="33" t="s">
        <v>43</v>
      </c>
      <c r="G2" s="33" t="s">
        <v>41</v>
      </c>
      <c r="H2" s="33" t="s">
        <v>7</v>
      </c>
      <c r="I2" s="33" t="s">
        <v>42</v>
      </c>
      <c r="J2" s="33" t="s">
        <v>43</v>
      </c>
      <c r="K2" s="33" t="s">
        <v>100</v>
      </c>
      <c r="L2" s="33" t="s">
        <v>100</v>
      </c>
      <c r="M2" s="33" t="s">
        <v>101</v>
      </c>
      <c r="N2" s="33" t="s">
        <v>101</v>
      </c>
    </row>
    <row r="3" spans="1:14" s="5" customFormat="1" x14ac:dyDescent="0.15">
      <c r="A3" s="32">
        <v>2</v>
      </c>
      <c r="B3" s="32" t="s">
        <v>102</v>
      </c>
      <c r="C3" s="34">
        <v>18.7</v>
      </c>
      <c r="D3" s="34">
        <v>18.399999999999999</v>
      </c>
      <c r="E3" s="34">
        <v>18.2</v>
      </c>
      <c r="F3" s="34">
        <v>17.899999999999999</v>
      </c>
      <c r="G3" s="34">
        <v>22.5</v>
      </c>
      <c r="H3" s="34">
        <v>25.2</v>
      </c>
      <c r="I3" s="34">
        <v>48.1</v>
      </c>
      <c r="J3" s="34">
        <v>51.8</v>
      </c>
      <c r="K3" s="34">
        <f>HLOOKUP(Calculation!$D$3,$C$2:$F$45,A3,0)</f>
        <v>18.7</v>
      </c>
      <c r="L3" s="34">
        <f>HLOOKUP(Calculation!$D$3,$G$2:$J$45,A3,0)</f>
        <v>22.5</v>
      </c>
      <c r="M3" s="34">
        <f>IF(AND(Calculation!D$4=C90,Calculation!D$5=D88),K3,0)</f>
        <v>0</v>
      </c>
      <c r="N3" s="34">
        <f>IF(AND(Calculation!D$4=C90,Calculation!D$5=D88),L3,0)</f>
        <v>0</v>
      </c>
    </row>
    <row r="4" spans="1:14" s="5" customFormat="1" x14ac:dyDescent="0.15">
      <c r="A4" s="32">
        <v>3</v>
      </c>
      <c r="B4" s="32" t="s">
        <v>44</v>
      </c>
      <c r="C4" s="34">
        <v>28.3</v>
      </c>
      <c r="D4" s="34">
        <v>28</v>
      </c>
      <c r="E4" s="34">
        <v>26.6</v>
      </c>
      <c r="F4" s="34">
        <v>26.2</v>
      </c>
      <c r="G4" s="34">
        <v>36.700000000000003</v>
      </c>
      <c r="H4" s="34">
        <v>43.7</v>
      </c>
      <c r="I4" s="34">
        <v>82.5</v>
      </c>
      <c r="J4" s="34">
        <v>91.2</v>
      </c>
      <c r="K4" s="34">
        <f>HLOOKUP(Calculation!$D$3,$C$2:$F$45,A4,0)</f>
        <v>28.3</v>
      </c>
      <c r="L4" s="34">
        <f>HLOOKUP(Calculation!$D$3,$G$2:$J$45,A4,0)</f>
        <v>36.700000000000003</v>
      </c>
      <c r="M4" s="34">
        <f>IF(AND(Calculation!D$4=C90,Calculation!D$5=D87),K4,0)</f>
        <v>0</v>
      </c>
      <c r="N4" s="34">
        <f>IF(AND(Calculation!D$4=C90,Calculation!D$5=D87),L4,0)</f>
        <v>0</v>
      </c>
    </row>
    <row r="5" spans="1:14" s="5" customFormat="1" x14ac:dyDescent="0.15">
      <c r="A5" s="32">
        <v>4</v>
      </c>
      <c r="B5" s="32" t="s">
        <v>15</v>
      </c>
      <c r="C5" s="34">
        <v>27.7</v>
      </c>
      <c r="D5" s="34">
        <v>28.1</v>
      </c>
      <c r="E5" s="34">
        <v>27.9</v>
      </c>
      <c r="F5" s="34">
        <v>27.6</v>
      </c>
      <c r="G5" s="34">
        <v>30.4</v>
      </c>
      <c r="H5" s="34">
        <v>33.299999999999997</v>
      </c>
      <c r="I5" s="34">
        <v>57.2</v>
      </c>
      <c r="J5" s="34">
        <v>62.5</v>
      </c>
      <c r="K5" s="34">
        <f>HLOOKUP(Calculation!$D$3,$C$2:$F$45,A5,0)</f>
        <v>27.7</v>
      </c>
      <c r="L5" s="34">
        <f>HLOOKUP(Calculation!$D$3,$G$2:$J$45,A5,0)</f>
        <v>30.4</v>
      </c>
      <c r="M5" s="34">
        <f>IF(AND(Calculation!D$4=C89,Calculation!D$5=D88),K5,0)</f>
        <v>0</v>
      </c>
      <c r="N5" s="34">
        <f>IF(AND(Calculation!D$4=C89,Calculation!D$5=D88),L5,0)</f>
        <v>0</v>
      </c>
    </row>
    <row r="6" spans="1:14" s="5" customFormat="1" x14ac:dyDescent="0.15">
      <c r="A6" s="32">
        <v>5</v>
      </c>
      <c r="B6" s="32" t="s">
        <v>45</v>
      </c>
      <c r="C6" s="34">
        <v>39.9</v>
      </c>
      <c r="D6" s="34">
        <v>39.700000000000003</v>
      </c>
      <c r="E6" s="34">
        <v>39.299999999999997</v>
      </c>
      <c r="F6" s="34">
        <v>38.799999999999997</v>
      </c>
      <c r="G6" s="34">
        <v>46.4</v>
      </c>
      <c r="H6" s="34">
        <v>52.5</v>
      </c>
      <c r="I6" s="34">
        <v>98.6</v>
      </c>
      <c r="J6" s="34">
        <v>106.8</v>
      </c>
      <c r="K6" s="34">
        <f>HLOOKUP(Calculation!$D$3,$C$2:$F$45,A6,0)</f>
        <v>39.9</v>
      </c>
      <c r="L6" s="34">
        <f>HLOOKUP(Calculation!$D$3,$G$2:$J$45,A6,0)</f>
        <v>46.4</v>
      </c>
      <c r="M6" s="34">
        <f>IF(AND(Calculation!D$4=C89,Calculation!D$5=D87),K6,0)</f>
        <v>0</v>
      </c>
      <c r="N6" s="34">
        <f>IF(AND(Calculation!D$4=C89,Calculation!D$5=D87),L6,0)</f>
        <v>0</v>
      </c>
    </row>
    <row r="7" spans="1:14" s="5" customFormat="1" x14ac:dyDescent="0.15">
      <c r="A7" s="32">
        <v>6</v>
      </c>
      <c r="B7" s="32" t="s">
        <v>17</v>
      </c>
      <c r="C7" s="34">
        <v>17</v>
      </c>
      <c r="D7" s="34">
        <v>16.899999999999999</v>
      </c>
      <c r="E7" s="34">
        <v>17</v>
      </c>
      <c r="F7" s="34">
        <v>17.2</v>
      </c>
      <c r="G7" s="34">
        <v>18.61</v>
      </c>
      <c r="H7" s="34">
        <v>18.87</v>
      </c>
      <c r="I7" s="34">
        <v>25.48</v>
      </c>
      <c r="J7" s="34">
        <v>30.37</v>
      </c>
      <c r="K7" s="34">
        <f>HLOOKUP(Calculation!$D$3,$C$2:$F$45,A7,0)</f>
        <v>17</v>
      </c>
      <c r="L7" s="34">
        <f>HLOOKUP(Calculation!$D$3,$G$2:$J$45,A7,0)</f>
        <v>18.61</v>
      </c>
      <c r="M7" s="34">
        <f>IF(AND(Calculation!D$4=C92,Calculation!D$5=D88),K7,0)</f>
        <v>0</v>
      </c>
      <c r="N7" s="34">
        <f>IF(AND(Calculation!D$4=C92,Calculation!D$5=D88),L7,0)</f>
        <v>0</v>
      </c>
    </row>
    <row r="8" spans="1:14" s="5" customFormat="1" x14ac:dyDescent="0.15">
      <c r="A8" s="32">
        <v>7</v>
      </c>
      <c r="B8" s="35" t="s">
        <v>46</v>
      </c>
      <c r="C8" s="34">
        <v>20</v>
      </c>
      <c r="D8" s="34">
        <v>20</v>
      </c>
      <c r="E8" s="34">
        <v>19.7</v>
      </c>
      <c r="F8" s="34">
        <v>19.600000000000001</v>
      </c>
      <c r="G8" s="34">
        <v>23.11</v>
      </c>
      <c r="H8" s="34">
        <v>24.1</v>
      </c>
      <c r="I8" s="34">
        <v>38.729999999999997</v>
      </c>
      <c r="J8" s="34">
        <v>45.18</v>
      </c>
      <c r="K8" s="34">
        <f>HLOOKUP(Calculation!$D$3,$C$2:$F$45,A8,0)</f>
        <v>20</v>
      </c>
      <c r="L8" s="34">
        <f>HLOOKUP(Calculation!$D$3,$G$2:$J$45,A8,0)</f>
        <v>23.11</v>
      </c>
      <c r="M8" s="34">
        <f>IF(AND(Calculation!D$4=C92,Calculation!D$5=D87),K8,0)</f>
        <v>0</v>
      </c>
      <c r="N8" s="34">
        <f>IF(AND(Calculation!D$4=C92,Calculation!D$5=D87),L8,0)</f>
        <v>0</v>
      </c>
    </row>
    <row r="9" spans="1:14" s="5" customFormat="1" x14ac:dyDescent="0.15">
      <c r="A9" s="32">
        <v>8</v>
      </c>
      <c r="B9" s="32" t="s">
        <v>9</v>
      </c>
      <c r="C9" s="34">
        <v>30.71</v>
      </c>
      <c r="D9" s="34">
        <v>30.9</v>
      </c>
      <c r="E9" s="34">
        <v>30.88</v>
      </c>
      <c r="F9" s="34">
        <v>30.58</v>
      </c>
      <c r="G9" s="34">
        <v>33.58</v>
      </c>
      <c r="H9" s="34">
        <v>35.369999999999997</v>
      </c>
      <c r="I9" s="34">
        <v>60.07</v>
      </c>
      <c r="J9" s="34">
        <v>63.78</v>
      </c>
      <c r="K9" s="34">
        <f>HLOOKUP(Calculation!$D$3,$C$2:$F$45,A9,0)</f>
        <v>30.71</v>
      </c>
      <c r="L9" s="34">
        <f>HLOOKUP(Calculation!$D$3,$G$2:$J$45,A9,0)</f>
        <v>33.58</v>
      </c>
      <c r="M9" s="34">
        <f>IF(AND(Calculation!D$4=C88,Calculation!D$5=D88),K9,0)</f>
        <v>0</v>
      </c>
      <c r="N9" s="34">
        <f>IF(AND(Calculation!D$4=C88,Calculation!D$5=D88),L9,0)</f>
        <v>0</v>
      </c>
    </row>
    <row r="10" spans="1:14" s="5" customFormat="1" x14ac:dyDescent="0.15">
      <c r="A10" s="32">
        <v>9</v>
      </c>
      <c r="B10" s="32" t="s">
        <v>47</v>
      </c>
      <c r="C10" s="34">
        <v>42.91</v>
      </c>
      <c r="D10" s="34">
        <v>42.5</v>
      </c>
      <c r="E10" s="34">
        <v>42.28</v>
      </c>
      <c r="F10" s="34">
        <v>41.78</v>
      </c>
      <c r="G10" s="34">
        <v>46.68</v>
      </c>
      <c r="H10" s="34">
        <v>54.57</v>
      </c>
      <c r="I10" s="34">
        <v>101.47</v>
      </c>
      <c r="J10" s="34">
        <v>108.08</v>
      </c>
      <c r="K10" s="34">
        <f>HLOOKUP(Calculation!$D$3,$C$2:$F$45,A10,0)</f>
        <v>42.91</v>
      </c>
      <c r="L10" s="34">
        <f>HLOOKUP(Calculation!$D$3,$G$2:$J$45,A10,0)</f>
        <v>46.68</v>
      </c>
      <c r="M10" s="34">
        <f>IF(AND(Calculation!D$4=C88,Calculation!D$5=D87),K10,0)</f>
        <v>0</v>
      </c>
      <c r="N10" s="34">
        <f>IF(AND(Calculation!D$4=C88,Calculation!D$5=D87),L10,0)</f>
        <v>0</v>
      </c>
    </row>
    <row r="11" spans="1:14" s="5" customFormat="1" x14ac:dyDescent="0.15">
      <c r="A11" s="32">
        <v>10</v>
      </c>
      <c r="B11" s="32" t="s">
        <v>84</v>
      </c>
      <c r="C11" s="34">
        <v>34.4</v>
      </c>
      <c r="D11" s="34">
        <v>34.299999999999997</v>
      </c>
      <c r="E11" s="34">
        <v>31.6</v>
      </c>
      <c r="F11" s="34">
        <v>31.8</v>
      </c>
      <c r="G11" s="34">
        <v>39</v>
      </c>
      <c r="H11" s="34">
        <v>36.67</v>
      </c>
      <c r="I11" s="34">
        <v>40.75</v>
      </c>
      <c r="J11" s="34">
        <v>34.49</v>
      </c>
      <c r="K11" s="34">
        <f>HLOOKUP(Calculation!$D$3,$C$2:$F$45,A11,0)</f>
        <v>34.4</v>
      </c>
      <c r="L11" s="34">
        <f>HLOOKUP(Calculation!$D$3,$G$2:$J$45,A11,0)</f>
        <v>39</v>
      </c>
      <c r="M11" s="34">
        <f>IF(AND(Calculation!D$4=C91,Calculation!D$5=D88),K11,0)</f>
        <v>0</v>
      </c>
      <c r="N11" s="34">
        <f>IF(AND(Calculation!D$4=C91,Calculation!D$5=D88),L11,0)</f>
        <v>0</v>
      </c>
    </row>
    <row r="12" spans="1:14" s="5" customFormat="1" x14ac:dyDescent="0.15">
      <c r="A12" s="32">
        <v>11</v>
      </c>
      <c r="B12" s="32" t="s">
        <v>85</v>
      </c>
      <c r="C12" s="34">
        <v>37.4</v>
      </c>
      <c r="D12" s="34">
        <v>37.4</v>
      </c>
      <c r="E12" s="34">
        <v>34.299999999999997</v>
      </c>
      <c r="F12" s="34">
        <v>34.200000000000003</v>
      </c>
      <c r="G12" s="34">
        <v>43.5</v>
      </c>
      <c r="H12" s="34">
        <v>41.9</v>
      </c>
      <c r="I12" s="34">
        <v>54</v>
      </c>
      <c r="J12" s="34">
        <v>49.3</v>
      </c>
      <c r="K12" s="34">
        <f>HLOOKUP(Calculation!$D$3,$C$2:$F$45,A12,0)</f>
        <v>37.4</v>
      </c>
      <c r="L12" s="34">
        <f>HLOOKUP(Calculation!$D$3,$G$2:$J$45,A12,0)</f>
        <v>43.5</v>
      </c>
      <c r="M12" s="34">
        <f>IF(AND(Calculation!D$4=C91,Calculation!D$5=D87),K12,0)</f>
        <v>0</v>
      </c>
      <c r="N12" s="34">
        <f>IF(AND(Calculation!D$4=C91,Calculation!D$5=D87),L12,0)</f>
        <v>0</v>
      </c>
    </row>
    <row r="13" spans="1:14" s="5" customFormat="1" x14ac:dyDescent="0.15">
      <c r="A13" s="32">
        <v>12</v>
      </c>
      <c r="B13" s="32" t="s">
        <v>154</v>
      </c>
      <c r="C13" s="34">
        <v>42.1</v>
      </c>
      <c r="D13" s="34">
        <v>41.6</v>
      </c>
      <c r="E13" s="34">
        <v>41.9</v>
      </c>
      <c r="F13" s="34">
        <v>41.8</v>
      </c>
      <c r="G13" s="34">
        <v>44.8</v>
      </c>
      <c r="H13" s="34">
        <v>45.7</v>
      </c>
      <c r="I13" s="34">
        <v>71.8</v>
      </c>
      <c r="J13" s="34">
        <v>76.099999999999994</v>
      </c>
      <c r="K13" s="34">
        <f>HLOOKUP(Calculation!$D$3,$C$2:$F$45,A13,0)</f>
        <v>42.1</v>
      </c>
      <c r="L13" s="34">
        <f>HLOOKUP(Calculation!$D$3,$G$2:$J$45,A13,0)</f>
        <v>44.8</v>
      </c>
      <c r="M13" s="34">
        <f>IF(AND(Calculation!D$4=C87,Calculation!D$5=D88),K13,0)</f>
        <v>0</v>
      </c>
      <c r="N13" s="34">
        <f>IF(AND(Calculation!D$4=C87,Calculation!D$5=D88),L13,0)</f>
        <v>0</v>
      </c>
    </row>
    <row r="14" spans="1:14" s="5" customFormat="1" x14ac:dyDescent="0.15">
      <c r="A14" s="32">
        <v>13</v>
      </c>
      <c r="B14" s="32" t="s">
        <v>155</v>
      </c>
      <c r="C14" s="34">
        <v>54.6</v>
      </c>
      <c r="D14" s="34">
        <v>54.8</v>
      </c>
      <c r="E14" s="34">
        <v>54.2</v>
      </c>
      <c r="F14" s="34">
        <v>53.4</v>
      </c>
      <c r="G14" s="34">
        <v>60.2</v>
      </c>
      <c r="H14" s="34">
        <v>65.099999999999994</v>
      </c>
      <c r="I14" s="34">
        <v>111.3</v>
      </c>
      <c r="J14" s="34">
        <v>121.2</v>
      </c>
      <c r="K14" s="34">
        <f>HLOOKUP(Calculation!$D$3,$C$2:$F$45,A14,0)</f>
        <v>54.6</v>
      </c>
      <c r="L14" s="34">
        <f>HLOOKUP(Calculation!$D$3,$G$2:$J$45,A14,0)</f>
        <v>60.2</v>
      </c>
      <c r="M14" s="34">
        <f>IF(AND(Calculation!D$4=C87,Calculation!D$5=D87),K14,0)</f>
        <v>54.6</v>
      </c>
      <c r="N14" s="34">
        <f>IF(AND(Calculation!D$4=C87,Calculation!D$5=D87),L14,0)</f>
        <v>60.2</v>
      </c>
    </row>
    <row r="15" spans="1:14" s="5" customFormat="1" x14ac:dyDescent="0.15">
      <c r="A15" s="32">
        <v>14</v>
      </c>
      <c r="B15" s="32" t="s">
        <v>48</v>
      </c>
      <c r="C15" s="34">
        <v>12.2</v>
      </c>
      <c r="D15" s="34">
        <v>11.6</v>
      </c>
      <c r="E15" s="34">
        <v>11.4</v>
      </c>
      <c r="F15" s="34">
        <v>11.2</v>
      </c>
      <c r="G15" s="34">
        <v>13.1</v>
      </c>
      <c r="H15" s="34">
        <v>19.2</v>
      </c>
      <c r="I15" s="34">
        <v>41.4</v>
      </c>
      <c r="J15" s="34">
        <v>44.3</v>
      </c>
      <c r="K15" s="34">
        <f>HLOOKUP(Calculation!$D$3,$C$2:$F$45,A15,0)</f>
        <v>12.2</v>
      </c>
      <c r="L15" s="34">
        <f>HLOOKUP(Calculation!$D$3,$G$2:$J$45,A15,0)</f>
        <v>13.1</v>
      </c>
      <c r="M15" s="34">
        <f>0</f>
        <v>0</v>
      </c>
      <c r="N15" s="34">
        <f>0</f>
        <v>0</v>
      </c>
    </row>
    <row r="16" spans="1:14" s="5" customFormat="1" x14ac:dyDescent="0.15">
      <c r="A16" s="32">
        <v>15</v>
      </c>
      <c r="B16" s="32" t="s">
        <v>158</v>
      </c>
      <c r="C16" s="75">
        <v>76.2</v>
      </c>
      <c r="D16" s="75">
        <v>74.3</v>
      </c>
      <c r="E16" s="75">
        <v>73.099999999999994</v>
      </c>
      <c r="F16" s="75">
        <v>73.7</v>
      </c>
      <c r="G16" s="76">
        <v>74.73</v>
      </c>
      <c r="H16" s="76">
        <v>71.72</v>
      </c>
      <c r="I16" s="76">
        <v>62.16</v>
      </c>
      <c r="J16" s="76">
        <v>62.92</v>
      </c>
      <c r="K16" s="34">
        <f>HLOOKUP(Calculation!$D$3,$C$2:$F$45,A16,0)</f>
        <v>76.2</v>
      </c>
      <c r="L16" s="34">
        <f>HLOOKUP(Calculation!$D$3,$G$2:$J$45,A16,0)</f>
        <v>74.73</v>
      </c>
      <c r="M16" s="34">
        <f>K16*Calculation!D6</f>
        <v>0</v>
      </c>
      <c r="N16" s="34">
        <f>L16*Calculation!D6</f>
        <v>0</v>
      </c>
    </row>
    <row r="17" spans="1:14" s="5" customFormat="1" x14ac:dyDescent="0.15">
      <c r="A17" s="32">
        <v>16</v>
      </c>
      <c r="B17" s="32" t="s">
        <v>159</v>
      </c>
      <c r="C17" s="75">
        <v>114.6</v>
      </c>
      <c r="D17" s="75">
        <v>112.3</v>
      </c>
      <c r="E17" s="75">
        <v>110.2</v>
      </c>
      <c r="F17" s="75">
        <v>110.7</v>
      </c>
      <c r="G17" s="76">
        <v>113.05</v>
      </c>
      <c r="H17" s="76">
        <v>109.47</v>
      </c>
      <c r="I17" s="76">
        <v>95.72</v>
      </c>
      <c r="J17" s="76">
        <v>94.32</v>
      </c>
      <c r="K17" s="34">
        <f>HLOOKUP(Calculation!$D$3,$C$2:$F$45,A17,0)</f>
        <v>114.6</v>
      </c>
      <c r="L17" s="34">
        <f>HLOOKUP(Calculation!$D$3,$G$2:$J$45,A17,0)</f>
        <v>113.05</v>
      </c>
      <c r="M17" s="34">
        <f>K17*Calculation!D7</f>
        <v>0</v>
      </c>
      <c r="N17" s="34">
        <f>L17*Calculation!D7</f>
        <v>0</v>
      </c>
    </row>
    <row r="18" spans="1:14" s="5" customFormat="1" x14ac:dyDescent="0.15">
      <c r="A18" s="32">
        <v>17</v>
      </c>
      <c r="B18" s="32" t="s">
        <v>160</v>
      </c>
      <c r="C18" s="75">
        <v>71.900000000000006</v>
      </c>
      <c r="D18" s="75">
        <v>71.8</v>
      </c>
      <c r="E18" s="75">
        <v>69.2</v>
      </c>
      <c r="F18" s="75">
        <v>69.3</v>
      </c>
      <c r="G18" s="76">
        <v>70.83</v>
      </c>
      <c r="H18" s="76">
        <v>70.27</v>
      </c>
      <c r="I18" s="76">
        <v>56.78</v>
      </c>
      <c r="J18" s="76">
        <v>57.81</v>
      </c>
      <c r="K18" s="34">
        <f>HLOOKUP(Calculation!$D$3,$C$2:$F$45,A18,0)</f>
        <v>71.900000000000006</v>
      </c>
      <c r="L18" s="34">
        <f>HLOOKUP(Calculation!$D$3,$G$2:$J$45,A18,0)</f>
        <v>70.83</v>
      </c>
      <c r="M18" s="34">
        <f>K18*Calculation!D8</f>
        <v>0</v>
      </c>
      <c r="N18" s="34">
        <f>L18*Calculation!D8</f>
        <v>0</v>
      </c>
    </row>
    <row r="19" spans="1:14" s="5" customFormat="1" x14ac:dyDescent="0.15">
      <c r="A19" s="32">
        <v>18</v>
      </c>
      <c r="B19" s="32" t="s">
        <v>161</v>
      </c>
      <c r="C19" s="75">
        <v>77.400000000000006</v>
      </c>
      <c r="D19" s="75">
        <v>76.900000000000006</v>
      </c>
      <c r="E19" s="75">
        <v>74.2</v>
      </c>
      <c r="F19" s="75">
        <v>73.7</v>
      </c>
      <c r="G19" s="76">
        <v>76.290000000000006</v>
      </c>
      <c r="H19" s="76">
        <v>75.099999999999994</v>
      </c>
      <c r="I19" s="76">
        <v>61.6</v>
      </c>
      <c r="J19" s="76">
        <v>61.6</v>
      </c>
      <c r="K19" s="34">
        <f>HLOOKUP(Calculation!$D$3,$C$2:$F$45,A19,0)</f>
        <v>77.400000000000006</v>
      </c>
      <c r="L19" s="34">
        <f>HLOOKUP(Calculation!$D$3,$G$2:$J$45,A19,0)</f>
        <v>76.290000000000006</v>
      </c>
      <c r="M19" s="34">
        <f>K19*Calculation!D9</f>
        <v>0</v>
      </c>
      <c r="N19" s="34">
        <f>L19*Calculation!D9</f>
        <v>0</v>
      </c>
    </row>
    <row r="20" spans="1:14" s="5" customFormat="1" x14ac:dyDescent="0.15">
      <c r="A20" s="32">
        <v>19</v>
      </c>
      <c r="B20" s="32" t="s">
        <v>162</v>
      </c>
      <c r="C20" s="34">
        <v>21</v>
      </c>
      <c r="D20" s="34">
        <v>20.8</v>
      </c>
      <c r="E20" s="34">
        <v>21.1</v>
      </c>
      <c r="F20" s="34">
        <v>21.4</v>
      </c>
      <c r="G20" s="34">
        <v>21.2</v>
      </c>
      <c r="H20" s="34">
        <v>21.1</v>
      </c>
      <c r="I20" s="34">
        <v>18.600000000000001</v>
      </c>
      <c r="J20" s="34">
        <v>16</v>
      </c>
      <c r="K20" s="34">
        <f>HLOOKUP(Calculation!$D$3,$C$2:$F$45,A20,0)</f>
        <v>21</v>
      </c>
      <c r="L20" s="34">
        <f>HLOOKUP(Calculation!$D$3,$G$2:$J$45,A20,0)</f>
        <v>21.2</v>
      </c>
      <c r="M20" s="34">
        <f>K20*Calculation!D10</f>
        <v>0</v>
      </c>
      <c r="N20" s="34">
        <f>L20*Calculation!D10</f>
        <v>0</v>
      </c>
    </row>
    <row r="21" spans="1:14" s="5" customFormat="1" x14ac:dyDescent="0.15">
      <c r="A21" s="32">
        <v>20</v>
      </c>
      <c r="B21" s="32" t="s">
        <v>61</v>
      </c>
      <c r="C21" s="34">
        <v>29.7</v>
      </c>
      <c r="D21" s="34">
        <v>29.1</v>
      </c>
      <c r="E21" s="34">
        <v>28</v>
      </c>
      <c r="F21" s="34">
        <v>28.2</v>
      </c>
      <c r="G21" s="34">
        <v>29.7</v>
      </c>
      <c r="H21" s="34">
        <v>29</v>
      </c>
      <c r="I21" s="34">
        <v>27.6</v>
      </c>
      <c r="J21" s="34">
        <v>26.1</v>
      </c>
      <c r="K21" s="34">
        <f>HLOOKUP(Calculation!$D$3,$C$2:$F$45,A21,0)</f>
        <v>29.7</v>
      </c>
      <c r="L21" s="34">
        <f>HLOOKUP(Calculation!$D$3,$G$2:$J$45,A21,0)</f>
        <v>29.7</v>
      </c>
      <c r="M21" s="34">
        <f>K21*Calculation!D11</f>
        <v>0</v>
      </c>
      <c r="N21" s="34">
        <f>L21*Calculation!D11</f>
        <v>0</v>
      </c>
    </row>
    <row r="22" spans="1:14" s="5" customFormat="1" x14ac:dyDescent="0.15">
      <c r="A22" s="32">
        <v>21</v>
      </c>
      <c r="B22" s="32" t="s">
        <v>18</v>
      </c>
      <c r="C22" s="34">
        <v>13.3</v>
      </c>
      <c r="D22" s="34">
        <v>14</v>
      </c>
      <c r="E22" s="34">
        <v>13.9</v>
      </c>
      <c r="F22" s="34">
        <v>14</v>
      </c>
      <c r="G22" s="34">
        <v>12.2</v>
      </c>
      <c r="H22" s="34">
        <v>11.8</v>
      </c>
      <c r="I22" s="34">
        <v>12.1</v>
      </c>
      <c r="J22" s="34">
        <v>14.3</v>
      </c>
      <c r="K22" s="34">
        <f>HLOOKUP(Calculation!$D$3,$C$2:$F$45,A22,0)</f>
        <v>13.3</v>
      </c>
      <c r="L22" s="34">
        <f>HLOOKUP(Calculation!$D$3,$G$2:$J$45,A22,0)</f>
        <v>12.2</v>
      </c>
      <c r="M22" s="34">
        <f>K22*Calculation!D12</f>
        <v>0</v>
      </c>
      <c r="N22" s="34">
        <f>L22*Calculation!D12</f>
        <v>0</v>
      </c>
    </row>
    <row r="23" spans="1:14" s="5" customFormat="1" x14ac:dyDescent="0.15">
      <c r="A23" s="32">
        <v>22</v>
      </c>
      <c r="B23" s="32" t="s">
        <v>62</v>
      </c>
      <c r="C23" s="34">
        <v>24.1</v>
      </c>
      <c r="D23" s="34">
        <v>23.7</v>
      </c>
      <c r="E23" s="34">
        <v>24</v>
      </c>
      <c r="F23" s="34">
        <v>24</v>
      </c>
      <c r="G23" s="34">
        <v>23.61</v>
      </c>
      <c r="H23" s="34">
        <v>21.84</v>
      </c>
      <c r="I23" s="34">
        <v>22.2</v>
      </c>
      <c r="J23" s="34">
        <v>22.51</v>
      </c>
      <c r="K23" s="34">
        <f>HLOOKUP(Calculation!$D$3,$C$2:$F$45,A23,0)</f>
        <v>24.1</v>
      </c>
      <c r="L23" s="34">
        <f>HLOOKUP(Calculation!$D$3,$G$2:$J$45,A23,0)</f>
        <v>23.61</v>
      </c>
      <c r="M23" s="34">
        <f>K23*Calculation!D13</f>
        <v>0</v>
      </c>
      <c r="N23" s="34">
        <f>L23*Calculation!D13</f>
        <v>0</v>
      </c>
    </row>
    <row r="24" spans="1:14" x14ac:dyDescent="0.15">
      <c r="A24" s="32">
        <v>23</v>
      </c>
      <c r="B24" s="32" t="s">
        <v>65</v>
      </c>
      <c r="C24" s="34">
        <v>28.08</v>
      </c>
      <c r="D24" s="34">
        <v>27.9</v>
      </c>
      <c r="E24" s="34">
        <v>27.42</v>
      </c>
      <c r="F24" s="34">
        <v>27.45</v>
      </c>
      <c r="G24" s="34">
        <v>27.81</v>
      </c>
      <c r="H24" s="34">
        <v>27.47</v>
      </c>
      <c r="I24" s="34">
        <v>24.63</v>
      </c>
      <c r="J24" s="34">
        <v>24.65</v>
      </c>
      <c r="K24" s="34">
        <f>HLOOKUP(Calculation!$D$3,$C$2:$F$45,A24,0)</f>
        <v>28.08</v>
      </c>
      <c r="L24" s="34">
        <f>HLOOKUP(Calculation!$D$3,$G$2:$J$45,A24,0)</f>
        <v>27.81</v>
      </c>
      <c r="M24" s="34">
        <f>K24*Calculation!D14</f>
        <v>0</v>
      </c>
      <c r="N24" s="34">
        <f>L24*Calculation!D14</f>
        <v>0</v>
      </c>
    </row>
    <row r="25" spans="1:14" x14ac:dyDescent="0.15">
      <c r="A25" s="32">
        <v>24</v>
      </c>
      <c r="B25" s="32" t="s">
        <v>103</v>
      </c>
      <c r="C25" s="34">
        <v>28.6</v>
      </c>
      <c r="D25" s="34">
        <v>28.9</v>
      </c>
      <c r="E25" s="34">
        <v>27.8</v>
      </c>
      <c r="F25" s="34">
        <v>28.1</v>
      </c>
      <c r="G25" s="34">
        <v>27.2</v>
      </c>
      <c r="H25" s="34">
        <v>28.1</v>
      </c>
      <c r="I25" s="34">
        <v>21.7</v>
      </c>
      <c r="J25" s="34">
        <v>25.7</v>
      </c>
      <c r="K25" s="34">
        <f>HLOOKUP(Calculation!$D$3,$C$2:$F$45,A25,0)</f>
        <v>28.6</v>
      </c>
      <c r="L25" s="34">
        <f>HLOOKUP(Calculation!$D$3,$G$2:$J$45,A25,0)</f>
        <v>27.2</v>
      </c>
      <c r="M25" s="34">
        <f>K25*Calculation!D15</f>
        <v>0</v>
      </c>
      <c r="N25" s="34">
        <f>L25*Calculation!D15</f>
        <v>0</v>
      </c>
    </row>
    <row r="26" spans="1:14" x14ac:dyDescent="0.15">
      <c r="A26" s="32">
        <v>25</v>
      </c>
      <c r="B26" s="32" t="s">
        <v>104</v>
      </c>
      <c r="C26" s="34">
        <v>28.6</v>
      </c>
      <c r="D26" s="34">
        <v>28.9</v>
      </c>
      <c r="E26" s="34">
        <v>27.8</v>
      </c>
      <c r="F26" s="34">
        <v>28.1</v>
      </c>
      <c r="G26" s="34">
        <v>27.2</v>
      </c>
      <c r="H26" s="34">
        <v>28.1</v>
      </c>
      <c r="I26" s="34">
        <v>21.7</v>
      </c>
      <c r="J26" s="34">
        <v>25.7</v>
      </c>
      <c r="K26" s="34">
        <f>HLOOKUP(Calculation!$D$3,$C$2:$F$45,A26,0)</f>
        <v>28.6</v>
      </c>
      <c r="L26" s="34">
        <f>HLOOKUP(Calculation!$D$3,$G$2:$J$45,A26,0)</f>
        <v>27.2</v>
      </c>
      <c r="M26" s="34">
        <f>K26*Calculation!D16</f>
        <v>0</v>
      </c>
      <c r="N26" s="34">
        <f>L26*Calculation!D16</f>
        <v>0</v>
      </c>
    </row>
    <row r="27" spans="1:14" x14ac:dyDescent="0.15">
      <c r="A27" s="32">
        <v>26</v>
      </c>
      <c r="B27" s="32" t="s">
        <v>105</v>
      </c>
      <c r="C27" s="34">
        <v>12.7</v>
      </c>
      <c r="D27" s="34">
        <v>13.1</v>
      </c>
      <c r="E27" s="34">
        <v>12.8</v>
      </c>
      <c r="F27" s="34">
        <v>13.25</v>
      </c>
      <c r="G27" s="34">
        <v>12.22</v>
      </c>
      <c r="H27" s="34">
        <v>11.95</v>
      </c>
      <c r="I27" s="34">
        <v>11.62</v>
      </c>
      <c r="J27" s="34">
        <v>12.73</v>
      </c>
      <c r="K27" s="34">
        <f>HLOOKUP(Calculation!$D$3,$C$2:$F$45,A27,0)</f>
        <v>12.7</v>
      </c>
      <c r="L27" s="34">
        <f>HLOOKUP(Calculation!$D$3,$G$2:$J$45,A27,0)</f>
        <v>12.22</v>
      </c>
      <c r="M27" s="34">
        <f>K27*Calculation!D17</f>
        <v>0</v>
      </c>
      <c r="N27" s="34">
        <f>L27*Calculation!D17</f>
        <v>0</v>
      </c>
    </row>
    <row r="28" spans="1:14" x14ac:dyDescent="0.15">
      <c r="A28" s="32">
        <v>27</v>
      </c>
      <c r="B28" s="32" t="s">
        <v>106</v>
      </c>
      <c r="C28" s="34">
        <v>4.8</v>
      </c>
      <c r="D28" s="34">
        <v>5</v>
      </c>
      <c r="E28" s="34">
        <v>4.9000000000000004</v>
      </c>
      <c r="F28" s="34">
        <v>5</v>
      </c>
      <c r="G28" s="34">
        <v>4.95</v>
      </c>
      <c r="H28" s="34">
        <v>4.47</v>
      </c>
      <c r="I28" s="34">
        <v>4.72</v>
      </c>
      <c r="J28" s="34">
        <v>4.76</v>
      </c>
      <c r="K28" s="34">
        <f>HLOOKUP(Calculation!$D$3,$C$2:$F$45,A28,0)</f>
        <v>4.8</v>
      </c>
      <c r="L28" s="34">
        <f>HLOOKUP(Calculation!$D$3,$G$2:$J$45,A28,0)</f>
        <v>4.95</v>
      </c>
      <c r="M28" s="34">
        <f>K28*Calculation!D18</f>
        <v>0</v>
      </c>
      <c r="N28" s="34">
        <f>L28*Calculation!D18</f>
        <v>0</v>
      </c>
    </row>
    <row r="29" spans="1:14" x14ac:dyDescent="0.15">
      <c r="A29" s="32">
        <v>28</v>
      </c>
      <c r="B29" s="32" t="s">
        <v>60</v>
      </c>
      <c r="C29" s="34">
        <v>13.49</v>
      </c>
      <c r="D29" s="34">
        <v>13.41</v>
      </c>
      <c r="E29" s="34">
        <v>13.06</v>
      </c>
      <c r="F29" s="34">
        <v>13.67</v>
      </c>
      <c r="G29" s="34">
        <v>12.9</v>
      </c>
      <c r="H29" s="34">
        <v>13.02</v>
      </c>
      <c r="I29" s="34">
        <v>11.36</v>
      </c>
      <c r="J29" s="34">
        <v>15.13</v>
      </c>
      <c r="K29" s="34">
        <f>HLOOKUP(Calculation!$D$3,$C$2:$F$45,A29,0)</f>
        <v>13.49</v>
      </c>
      <c r="L29" s="34">
        <f>HLOOKUP(Calculation!$D$3,$G$2:$J$45,A29,0)</f>
        <v>12.9</v>
      </c>
      <c r="M29" s="34">
        <f>K29*Calculation!D19</f>
        <v>0</v>
      </c>
      <c r="N29" s="34">
        <f>L29*Calculation!D19</f>
        <v>0</v>
      </c>
    </row>
    <row r="30" spans="1:14" x14ac:dyDescent="0.15">
      <c r="A30" s="32">
        <v>29</v>
      </c>
      <c r="B30" s="32" t="s">
        <v>24</v>
      </c>
      <c r="C30" s="34">
        <v>4.4000000000000004</v>
      </c>
      <c r="D30" s="34">
        <v>4.63</v>
      </c>
      <c r="E30" s="34">
        <v>4.63</v>
      </c>
      <c r="F30" s="34">
        <v>4.63</v>
      </c>
      <c r="G30" s="34">
        <v>4.07</v>
      </c>
      <c r="H30" s="34">
        <v>3.93</v>
      </c>
      <c r="I30" s="34">
        <v>4</v>
      </c>
      <c r="J30" s="34">
        <v>4.8</v>
      </c>
      <c r="K30" s="34">
        <f>HLOOKUP(Calculation!$D$3,$C$2:$F$45,A30,0)</f>
        <v>4.4000000000000004</v>
      </c>
      <c r="L30" s="34">
        <f>HLOOKUP(Calculation!$D$3,$G$2:$J$45,A30,0)</f>
        <v>4.07</v>
      </c>
      <c r="M30" s="34">
        <f>K30*Calculation!D20</f>
        <v>0</v>
      </c>
      <c r="N30" s="34">
        <f>L30*Calculation!D20</f>
        <v>0</v>
      </c>
    </row>
    <row r="31" spans="1:14" x14ac:dyDescent="0.15">
      <c r="A31" s="32">
        <v>30</v>
      </c>
      <c r="B31" s="32" t="s">
        <v>25</v>
      </c>
      <c r="C31" s="34">
        <v>2.4500000000000002</v>
      </c>
      <c r="D31" s="34">
        <v>2.2999999999999998</v>
      </c>
      <c r="E31" s="34">
        <v>2.5</v>
      </c>
      <c r="F31" s="34">
        <v>2.6</v>
      </c>
      <c r="G31" s="34">
        <v>2.25</v>
      </c>
      <c r="H31" s="34">
        <v>1.95</v>
      </c>
      <c r="I31" s="34">
        <v>2</v>
      </c>
      <c r="J31" s="34">
        <v>2.9</v>
      </c>
      <c r="K31" s="34">
        <f>HLOOKUP(Calculation!$D$3,$C$2:$F$45,A31,0)</f>
        <v>2.4500000000000002</v>
      </c>
      <c r="L31" s="34">
        <f>HLOOKUP(Calculation!$D$3,$G$2:$J$45,A31,0)</f>
        <v>2.25</v>
      </c>
      <c r="M31" s="34">
        <f>K31*Calculation!D21</f>
        <v>0</v>
      </c>
      <c r="N31" s="34">
        <f>L31*Calculation!D21</f>
        <v>0</v>
      </c>
    </row>
    <row r="32" spans="1:14" x14ac:dyDescent="0.15">
      <c r="A32" s="32">
        <v>31</v>
      </c>
      <c r="B32" s="32" t="s">
        <v>49</v>
      </c>
      <c r="C32" s="34">
        <v>3.7</v>
      </c>
      <c r="D32" s="34">
        <v>3.5</v>
      </c>
      <c r="E32" s="34">
        <v>3.5</v>
      </c>
      <c r="F32" s="34">
        <v>3.2</v>
      </c>
      <c r="G32" s="34">
        <v>3.5</v>
      </c>
      <c r="H32" s="34">
        <v>2.7</v>
      </c>
      <c r="I32" s="34">
        <v>2.7</v>
      </c>
      <c r="J32" s="34">
        <v>3.9</v>
      </c>
      <c r="K32" s="34">
        <f>HLOOKUP(Calculation!$D$3,$C$2:$F$45,A32,0)</f>
        <v>3.7</v>
      </c>
      <c r="L32" s="34">
        <f>HLOOKUP(Calculation!$D$3,$G$2:$J$45,A32,0)</f>
        <v>3.5</v>
      </c>
      <c r="M32" s="34">
        <f>K32*Calculation!D22</f>
        <v>0</v>
      </c>
      <c r="N32" s="34">
        <f>L32*Calculation!D22</f>
        <v>0</v>
      </c>
    </row>
    <row r="33" spans="1:14" x14ac:dyDescent="0.15">
      <c r="A33" s="32">
        <v>32</v>
      </c>
      <c r="B33" s="32" t="s">
        <v>27</v>
      </c>
      <c r="C33" s="34">
        <v>2.6</v>
      </c>
      <c r="D33" s="34">
        <v>2.7</v>
      </c>
      <c r="E33" s="34">
        <v>2.7</v>
      </c>
      <c r="F33" s="34">
        <v>2.65</v>
      </c>
      <c r="G33" s="34">
        <v>2.4</v>
      </c>
      <c r="H33" s="34">
        <v>2.2999999999999998</v>
      </c>
      <c r="I33" s="34">
        <v>2.0499999999999998</v>
      </c>
      <c r="J33" s="34">
        <v>3.4</v>
      </c>
      <c r="K33" s="34">
        <f>HLOOKUP(Calculation!$D$3,$C$2:$F$45,A33,0)</f>
        <v>2.6</v>
      </c>
      <c r="L33" s="34">
        <f>HLOOKUP(Calculation!$D$3,$G$2:$J$45,A33,0)</f>
        <v>2.4</v>
      </c>
      <c r="M33" s="34">
        <f>K33*Calculation!D23</f>
        <v>0</v>
      </c>
      <c r="N33" s="34">
        <f>L33*Calculation!D23</f>
        <v>0</v>
      </c>
    </row>
    <row r="34" spans="1:14" x14ac:dyDescent="0.15">
      <c r="A34" s="32">
        <v>33</v>
      </c>
      <c r="B34" s="32" t="s">
        <v>50</v>
      </c>
      <c r="C34" s="34">
        <v>3.6</v>
      </c>
      <c r="D34" s="34">
        <v>3.4</v>
      </c>
      <c r="E34" s="34">
        <v>3.4</v>
      </c>
      <c r="F34" s="34">
        <v>3.5</v>
      </c>
      <c r="G34" s="34">
        <v>3.3</v>
      </c>
      <c r="H34" s="34">
        <v>3</v>
      </c>
      <c r="I34" s="34">
        <v>2.4</v>
      </c>
      <c r="J34" s="34">
        <v>3.9</v>
      </c>
      <c r="K34" s="34">
        <f>HLOOKUP(Calculation!$D$3,$C$2:$F$45,A34,0)</f>
        <v>3.6</v>
      </c>
      <c r="L34" s="34">
        <f>HLOOKUP(Calculation!$D$3,$G$2:$J$45,A34,0)</f>
        <v>3.3</v>
      </c>
      <c r="M34" s="34">
        <f>K34*Calculation!D24</f>
        <v>0</v>
      </c>
      <c r="N34" s="34">
        <f>L34*Calculation!D24</f>
        <v>0</v>
      </c>
    </row>
    <row r="35" spans="1:14" x14ac:dyDescent="0.15">
      <c r="A35" s="32">
        <v>34</v>
      </c>
      <c r="B35" s="32" t="s">
        <v>66</v>
      </c>
      <c r="C35" s="34">
        <v>20.9</v>
      </c>
      <c r="D35" s="34">
        <v>20.3</v>
      </c>
      <c r="E35" s="34">
        <v>20.6</v>
      </c>
      <c r="F35" s="34">
        <v>20.5</v>
      </c>
      <c r="G35" s="34">
        <v>20.3</v>
      </c>
      <c r="H35" s="34">
        <v>18.72</v>
      </c>
      <c r="I35" s="34">
        <v>18.920000000000002</v>
      </c>
      <c r="J35" s="34">
        <v>19.68</v>
      </c>
      <c r="K35" s="34">
        <f>HLOOKUP(Calculation!$D$3,$C$2:$F$45,A35,0)</f>
        <v>20.9</v>
      </c>
      <c r="L35" s="34">
        <f>HLOOKUP(Calculation!$D$3,$G$2:$J$45,A35,0)</f>
        <v>20.3</v>
      </c>
      <c r="M35" s="34">
        <f>K35*Calculation!D25</f>
        <v>0</v>
      </c>
      <c r="N35" s="34">
        <f>L35*Calculation!D25</f>
        <v>0</v>
      </c>
    </row>
    <row r="36" spans="1:14" x14ac:dyDescent="0.15">
      <c r="A36" s="32">
        <v>35</v>
      </c>
      <c r="B36" s="32" t="s">
        <v>83</v>
      </c>
      <c r="C36" s="34">
        <v>12.38</v>
      </c>
      <c r="D36" s="34">
        <v>11.56</v>
      </c>
      <c r="E36" s="34">
        <v>11.81</v>
      </c>
      <c r="F36" s="34">
        <v>12.24</v>
      </c>
      <c r="G36" s="34">
        <v>11.92</v>
      </c>
      <c r="H36" s="34">
        <v>11.06</v>
      </c>
      <c r="I36" s="34">
        <v>10.65</v>
      </c>
      <c r="J36" s="34">
        <v>11.81</v>
      </c>
      <c r="K36" s="34">
        <f>HLOOKUP(Calculation!$D$3,$C$2:$F$45,A36,0)</f>
        <v>12.38</v>
      </c>
      <c r="L36" s="34">
        <f>HLOOKUP(Calculation!$D$3,$G$2:$J$45,A36,0)</f>
        <v>11.92</v>
      </c>
      <c r="M36" s="34">
        <f>K36*Calculation!D26</f>
        <v>0</v>
      </c>
      <c r="N36" s="34">
        <f>L36*Calculation!D26</f>
        <v>0</v>
      </c>
    </row>
    <row r="37" spans="1:14" s="5" customFormat="1" x14ac:dyDescent="0.15">
      <c r="A37" s="32">
        <v>36</v>
      </c>
      <c r="B37" s="32" t="s">
        <v>67</v>
      </c>
      <c r="C37" s="34">
        <v>26.94</v>
      </c>
      <c r="D37" s="34">
        <v>27.4</v>
      </c>
      <c r="E37" s="34">
        <v>26.36</v>
      </c>
      <c r="F37" s="34">
        <v>26.83</v>
      </c>
      <c r="G37" s="34">
        <v>25.94</v>
      </c>
      <c r="H37" s="34">
        <v>26.52</v>
      </c>
      <c r="I37" s="34">
        <v>21.41</v>
      </c>
      <c r="J37" s="34">
        <v>23.76</v>
      </c>
      <c r="K37" s="34">
        <f>HLOOKUP(Calculation!$D$3,$C$2:$F$45,A37,0)</f>
        <v>26.94</v>
      </c>
      <c r="L37" s="34">
        <f>HLOOKUP(Calculation!$D$3,$G$2:$J$45,A37,0)</f>
        <v>25.94</v>
      </c>
      <c r="M37" s="34">
        <f>K37*Calculation!D27</f>
        <v>0</v>
      </c>
      <c r="N37" s="34">
        <f>L37*Calculation!D27</f>
        <v>0</v>
      </c>
    </row>
    <row r="38" spans="1:14" s="5" customFormat="1" x14ac:dyDescent="0.15">
      <c r="A38" s="32">
        <v>37</v>
      </c>
      <c r="B38" s="32" t="s">
        <v>68</v>
      </c>
      <c r="C38" s="34">
        <v>26.1</v>
      </c>
      <c r="D38" s="34">
        <v>26</v>
      </c>
      <c r="E38" s="34">
        <v>25.9</v>
      </c>
      <c r="F38" s="34">
        <v>26</v>
      </c>
      <c r="G38" s="34">
        <v>26.2</v>
      </c>
      <c r="H38" s="34">
        <v>26</v>
      </c>
      <c r="I38" s="34">
        <v>22.6</v>
      </c>
      <c r="J38" s="34">
        <v>22.6</v>
      </c>
      <c r="K38" s="34">
        <f>HLOOKUP(Calculation!$D$3,$C$2:$F$45,A38,0)</f>
        <v>26.1</v>
      </c>
      <c r="L38" s="34">
        <f>HLOOKUP(Calculation!$D$3,$G$2:$J$45,A38,0)</f>
        <v>26.2</v>
      </c>
      <c r="M38" s="34">
        <f>K38*Calculation!D28</f>
        <v>0</v>
      </c>
      <c r="N38" s="34">
        <f>L38*Calculation!D28</f>
        <v>0</v>
      </c>
    </row>
    <row r="39" spans="1:14" s="5" customFormat="1" x14ac:dyDescent="0.15">
      <c r="A39" s="32">
        <v>38</v>
      </c>
      <c r="B39" s="32" t="s">
        <v>29</v>
      </c>
      <c r="C39" s="34">
        <v>11.9</v>
      </c>
      <c r="D39" s="34">
        <v>12.5</v>
      </c>
      <c r="E39" s="34">
        <v>12.5</v>
      </c>
      <c r="F39" s="34">
        <v>12.6</v>
      </c>
      <c r="G39" s="34">
        <v>10.9</v>
      </c>
      <c r="H39" s="34">
        <v>10.8</v>
      </c>
      <c r="I39" s="34">
        <v>10.8</v>
      </c>
      <c r="J39" s="34">
        <v>13.6</v>
      </c>
      <c r="K39" s="34">
        <f>HLOOKUP(Calculation!$D$3,$C$2:$F$45,A39,0)</f>
        <v>11.9</v>
      </c>
      <c r="L39" s="34">
        <f>HLOOKUP(Calculation!$D$3,$G$2:$J$45,A39,0)</f>
        <v>10.9</v>
      </c>
      <c r="M39" s="34">
        <f>K39*Calculation!D29</f>
        <v>0</v>
      </c>
      <c r="N39" s="34">
        <f>L39*Calculation!D29</f>
        <v>0</v>
      </c>
    </row>
    <row r="40" spans="1:14" s="5" customFormat="1" x14ac:dyDescent="0.15">
      <c r="A40" s="32">
        <v>39</v>
      </c>
      <c r="B40" s="32" t="s">
        <v>30</v>
      </c>
      <c r="C40" s="34">
        <v>11.8</v>
      </c>
      <c r="D40" s="34">
        <v>12.4</v>
      </c>
      <c r="E40" s="34">
        <v>12.4</v>
      </c>
      <c r="F40" s="34">
        <v>12.5</v>
      </c>
      <c r="G40" s="34">
        <v>10.8</v>
      </c>
      <c r="H40" s="34">
        <v>10.5</v>
      </c>
      <c r="I40" s="34">
        <v>10</v>
      </c>
      <c r="J40" s="34">
        <v>13.2</v>
      </c>
      <c r="K40" s="34">
        <f>HLOOKUP(Calculation!$D$3,$C$2:$F$45,A40,0)</f>
        <v>11.8</v>
      </c>
      <c r="L40" s="34">
        <f>HLOOKUP(Calculation!$D$3,$G$2:$J$45,A40,0)</f>
        <v>10.8</v>
      </c>
      <c r="M40" s="34">
        <f>K40*Calculation!D30</f>
        <v>0</v>
      </c>
      <c r="N40" s="34">
        <f>L40*Calculation!D30</f>
        <v>0</v>
      </c>
    </row>
    <row r="41" spans="1:14" s="5" customFormat="1" x14ac:dyDescent="0.15">
      <c r="A41" s="32">
        <v>40</v>
      </c>
      <c r="B41" s="36" t="s">
        <v>31</v>
      </c>
      <c r="C41" s="37">
        <v>5.5</v>
      </c>
      <c r="D41" s="37">
        <v>5.7</v>
      </c>
      <c r="E41" s="37">
        <v>5.75</v>
      </c>
      <c r="F41" s="37">
        <v>5.8</v>
      </c>
      <c r="G41" s="37">
        <v>5.18</v>
      </c>
      <c r="H41" s="37">
        <v>4.8499999999999996</v>
      </c>
      <c r="I41" s="37">
        <v>5.0999999999999996</v>
      </c>
      <c r="J41" s="37">
        <v>5.68</v>
      </c>
      <c r="K41" s="34">
        <f>HLOOKUP(Calculation!$D$3,$C$2:$F$45,A41,0)</f>
        <v>5.5</v>
      </c>
      <c r="L41" s="34">
        <f>HLOOKUP(Calculation!$D$3,$G$2:$J$45,A41,0)</f>
        <v>5.18</v>
      </c>
      <c r="M41" s="34">
        <f>K41*Calculation!D31</f>
        <v>0</v>
      </c>
      <c r="N41" s="34">
        <f>L41*Calculation!D31</f>
        <v>0</v>
      </c>
    </row>
    <row r="42" spans="1:14" s="5" customFormat="1" x14ac:dyDescent="0.15">
      <c r="A42" s="32">
        <v>41</v>
      </c>
      <c r="B42" s="36" t="s">
        <v>33</v>
      </c>
      <c r="C42" s="37">
        <v>6.8</v>
      </c>
      <c r="D42" s="37">
        <v>6.2</v>
      </c>
      <c r="E42" s="37">
        <v>6.8</v>
      </c>
      <c r="F42" s="37">
        <v>6.9</v>
      </c>
      <c r="G42" s="37">
        <v>6.64</v>
      </c>
      <c r="H42" s="37">
        <v>5.28</v>
      </c>
      <c r="I42" s="37">
        <v>7.7</v>
      </c>
      <c r="J42" s="37">
        <v>6.96</v>
      </c>
      <c r="K42" s="34">
        <f>HLOOKUP(Calculation!$D$3,$C$2:$F$45,A42,0)</f>
        <v>6.8</v>
      </c>
      <c r="L42" s="34">
        <f>HLOOKUP(Calculation!$D$3,$G$2:$J$45,A42,0)</f>
        <v>6.64</v>
      </c>
      <c r="M42" s="34">
        <f>K42*Calculation!D32</f>
        <v>0</v>
      </c>
      <c r="N42" s="34">
        <f>L42*Calculation!D32</f>
        <v>0</v>
      </c>
    </row>
    <row r="43" spans="1:14" s="5" customFormat="1" x14ac:dyDescent="0.15">
      <c r="A43" s="32">
        <v>42</v>
      </c>
      <c r="B43" s="36" t="s">
        <v>69</v>
      </c>
      <c r="C43" s="37">
        <v>11.07</v>
      </c>
      <c r="D43" s="37">
        <v>10.74</v>
      </c>
      <c r="E43" s="37">
        <v>10.61</v>
      </c>
      <c r="F43" s="37">
        <v>11.03</v>
      </c>
      <c r="G43" s="37">
        <v>10.58</v>
      </c>
      <c r="H43" s="37">
        <v>10.48</v>
      </c>
      <c r="I43" s="37">
        <v>9.1300000000000008</v>
      </c>
      <c r="J43" s="37">
        <v>10.78</v>
      </c>
      <c r="K43" s="34">
        <f>HLOOKUP(Calculation!$D$3,$C$2:$F$45,A43,0)</f>
        <v>11.07</v>
      </c>
      <c r="L43" s="34">
        <f>HLOOKUP(Calculation!$D$3,$G$2:$J$45,A43,0)</f>
        <v>10.58</v>
      </c>
      <c r="M43" s="34">
        <f>K43*Calculation!D33</f>
        <v>0</v>
      </c>
      <c r="N43" s="34">
        <f>L43*Calculation!D33</f>
        <v>0</v>
      </c>
    </row>
    <row r="44" spans="1:14" s="5" customFormat="1" x14ac:dyDescent="0.15">
      <c r="A44" s="32">
        <v>43</v>
      </c>
      <c r="B44" s="36" t="s">
        <v>34</v>
      </c>
      <c r="C44" s="37">
        <v>7.15</v>
      </c>
      <c r="D44" s="37">
        <v>7.5</v>
      </c>
      <c r="E44" s="37">
        <v>7.2</v>
      </c>
      <c r="F44" s="37">
        <v>7</v>
      </c>
      <c r="G44" s="37">
        <v>6.45</v>
      </c>
      <c r="H44" s="37">
        <v>6.15</v>
      </c>
      <c r="I44" s="37">
        <v>6.4</v>
      </c>
      <c r="J44" s="37">
        <v>7.85</v>
      </c>
      <c r="K44" s="34">
        <f>HLOOKUP(Calculation!$D$3,$C$2:$F$45,A44,0)</f>
        <v>7.15</v>
      </c>
      <c r="L44" s="34">
        <f>HLOOKUP(Calculation!$D$3,$G$2:$J$45,A44,0)</f>
        <v>6.45</v>
      </c>
      <c r="M44" s="34">
        <f>K44*Calculation!D34</f>
        <v>0</v>
      </c>
      <c r="N44" s="34">
        <f>L44*Calculation!D34</f>
        <v>0</v>
      </c>
    </row>
    <row r="45" spans="1:14" s="5" customFormat="1" x14ac:dyDescent="0.15">
      <c r="A45" s="32">
        <v>44</v>
      </c>
      <c r="B45" s="32" t="s">
        <v>51</v>
      </c>
      <c r="C45" s="34">
        <v>9.4</v>
      </c>
      <c r="D45" s="34">
        <v>10</v>
      </c>
      <c r="E45" s="34">
        <v>9.9</v>
      </c>
      <c r="F45" s="34">
        <v>10</v>
      </c>
      <c r="G45" s="34">
        <v>8.6</v>
      </c>
      <c r="H45" s="34">
        <v>8.4</v>
      </c>
      <c r="I45" s="34">
        <v>8.1</v>
      </c>
      <c r="J45" s="34">
        <v>10.9</v>
      </c>
      <c r="K45" s="34">
        <f>HLOOKUP(Calculation!$D$3,$C$2:$F$45,A45,0)</f>
        <v>9.4</v>
      </c>
      <c r="L45" s="34">
        <f>HLOOKUP(Calculation!$D$3,$G$2:$J$45,A45,0)</f>
        <v>8.6</v>
      </c>
      <c r="M45" s="34">
        <f>K45*Calculation!D35</f>
        <v>0</v>
      </c>
      <c r="N45" s="34">
        <f>L45*Calculation!D35</f>
        <v>0</v>
      </c>
    </row>
    <row r="46" spans="1:14" s="5" customFormat="1" x14ac:dyDescent="0.15">
      <c r="A46" s="38"/>
      <c r="B46" s="124" t="s">
        <v>101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6"/>
      <c r="M46" s="39">
        <f>SUM(M3:M45)</f>
        <v>54.6</v>
      </c>
      <c r="N46" s="34">
        <f>SUM(N3:N45)</f>
        <v>60.2</v>
      </c>
    </row>
    <row r="47" spans="1:14" s="5" customFormat="1" x14ac:dyDescent="0.1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s="5" customFormat="1" x14ac:dyDescent="0.15">
      <c r="A48" s="38"/>
      <c r="B48" s="32"/>
      <c r="C48" s="121" t="s">
        <v>107</v>
      </c>
      <c r="D48" s="122"/>
      <c r="E48" s="122"/>
      <c r="F48" s="122"/>
      <c r="G48" s="122"/>
      <c r="H48" s="122"/>
      <c r="I48" s="123"/>
      <c r="J48" s="121" t="s">
        <v>108</v>
      </c>
      <c r="K48" s="123"/>
      <c r="N48" s="38"/>
    </row>
    <row r="49" spans="1:14" s="5" customFormat="1" x14ac:dyDescent="0.15">
      <c r="A49" s="40">
        <v>1</v>
      </c>
      <c r="B49" s="32"/>
      <c r="C49" s="33" t="s">
        <v>109</v>
      </c>
      <c r="D49" s="33" t="str">
        <f>C87</f>
        <v>USF-212BS</v>
      </c>
      <c r="E49" s="41" t="str">
        <f>C88</f>
        <v>USF-212AS</v>
      </c>
      <c r="F49" s="41" t="str">
        <f>C89</f>
        <v>USF-212S</v>
      </c>
      <c r="G49" s="33" t="str">
        <f>C90</f>
        <v>USF-212</v>
      </c>
      <c r="H49" s="33" t="str">
        <f>C91</f>
        <v>USF-105AS</v>
      </c>
      <c r="I49" s="33" t="str">
        <f>C92</f>
        <v>USF-105S</v>
      </c>
      <c r="J49" s="33" t="s">
        <v>109</v>
      </c>
      <c r="K49" s="33" t="s">
        <v>110</v>
      </c>
      <c r="L49" s="33" t="s">
        <v>111</v>
      </c>
      <c r="M49" s="38"/>
      <c r="N49" s="38"/>
    </row>
    <row r="50" spans="1:14" s="5" customFormat="1" x14ac:dyDescent="0.15">
      <c r="A50" s="40">
        <v>2</v>
      </c>
      <c r="B50" s="32" t="s">
        <v>52</v>
      </c>
      <c r="C50" s="33"/>
      <c r="D50" s="33">
        <v>12</v>
      </c>
      <c r="E50" s="41">
        <v>12</v>
      </c>
      <c r="F50" s="41">
        <v>12</v>
      </c>
      <c r="G50" s="41">
        <v>12</v>
      </c>
      <c r="H50" s="41">
        <v>5</v>
      </c>
      <c r="I50" s="64">
        <v>5</v>
      </c>
      <c r="J50" s="42">
        <f>HLOOKUP(Calculation!D4,D49:I50,2,0)</f>
        <v>12</v>
      </c>
      <c r="K50" s="42"/>
      <c r="L50" s="33"/>
      <c r="M50" s="38"/>
      <c r="N50" s="38"/>
    </row>
    <row r="51" spans="1:14" s="5" customFormat="1" x14ac:dyDescent="0.15">
      <c r="A51" s="40">
        <v>3</v>
      </c>
      <c r="B51" s="50" t="s">
        <v>158</v>
      </c>
      <c r="C51" s="43">
        <v>2</v>
      </c>
      <c r="D51" s="66" t="b">
        <f>TRUE()</f>
        <v>1</v>
      </c>
      <c r="E51" s="66" t="b">
        <f>FALSE()</f>
        <v>0</v>
      </c>
      <c r="F51" s="66" t="b">
        <f>FALSE()</f>
        <v>0</v>
      </c>
      <c r="G51" s="66" t="b">
        <f>FALSE()</f>
        <v>0</v>
      </c>
      <c r="H51" s="66" t="b">
        <f>FALSE()</f>
        <v>0</v>
      </c>
      <c r="I51" s="66" t="b">
        <f>FALSE()</f>
        <v>0</v>
      </c>
      <c r="J51" s="32">
        <f>Calculation!D6*C51</f>
        <v>0</v>
      </c>
      <c r="K51" s="44">
        <f>IF(HLOOKUP(Calculation!$D$4,$D$49:$I$81,A51,0),1,0)</f>
        <v>1</v>
      </c>
      <c r="L51" s="32">
        <f>IF(J51 = 0,1,K51)</f>
        <v>1</v>
      </c>
      <c r="M51" s="38"/>
      <c r="N51" s="38"/>
    </row>
    <row r="52" spans="1:14" s="5" customFormat="1" x14ac:dyDescent="0.15">
      <c r="A52" s="40">
        <v>4</v>
      </c>
      <c r="B52" s="50" t="s">
        <v>159</v>
      </c>
      <c r="C52" s="43">
        <v>3</v>
      </c>
      <c r="D52" s="66" t="b">
        <f>TRUE()</f>
        <v>1</v>
      </c>
      <c r="E52" s="66" t="b">
        <f>FALSE()</f>
        <v>0</v>
      </c>
      <c r="F52" s="66" t="b">
        <f>FALSE()</f>
        <v>0</v>
      </c>
      <c r="G52" s="66" t="b">
        <f>FALSE()</f>
        <v>0</v>
      </c>
      <c r="H52" s="66" t="b">
        <f>FALSE()</f>
        <v>0</v>
      </c>
      <c r="I52" s="66" t="b">
        <f>FALSE()</f>
        <v>0</v>
      </c>
      <c r="J52" s="32">
        <f>Calculation!D7*C52</f>
        <v>0</v>
      </c>
      <c r="K52" s="44">
        <f>IF(HLOOKUP(Calculation!$D$4,$D$49:$I$81,A52,0),1,0)</f>
        <v>1</v>
      </c>
      <c r="L52" s="32">
        <f t="shared" ref="L52:L55" si="0">IF(J52 = 0,1,K52)</f>
        <v>1</v>
      </c>
      <c r="M52" s="38"/>
      <c r="N52" s="38"/>
    </row>
    <row r="53" spans="1:14" s="5" customFormat="1" x14ac:dyDescent="0.15">
      <c r="A53" s="40">
        <v>5</v>
      </c>
      <c r="B53" s="50" t="s">
        <v>160</v>
      </c>
      <c r="C53" s="43">
        <v>2</v>
      </c>
      <c r="D53" s="66" t="b">
        <f>TRUE()</f>
        <v>1</v>
      </c>
      <c r="E53" s="66" t="b">
        <f>TRUE()</f>
        <v>1</v>
      </c>
      <c r="F53" s="66" t="b">
        <f>FALSE()</f>
        <v>0</v>
      </c>
      <c r="G53" s="66" t="b">
        <f>FALSE()</f>
        <v>0</v>
      </c>
      <c r="H53" s="66" t="b">
        <f>FALSE()</f>
        <v>0</v>
      </c>
      <c r="I53" s="66" t="b">
        <f>FALSE()</f>
        <v>0</v>
      </c>
      <c r="J53" s="32">
        <f>Calculation!D8*C53</f>
        <v>0</v>
      </c>
      <c r="K53" s="44">
        <f>IF(HLOOKUP(Calculation!$D$4,$D$49:$I$81,A53,0),1,0)</f>
        <v>1</v>
      </c>
      <c r="L53" s="32">
        <f t="shared" si="0"/>
        <v>1</v>
      </c>
      <c r="M53" s="38"/>
      <c r="N53" s="38"/>
    </row>
    <row r="54" spans="1:14" s="5" customFormat="1" x14ac:dyDescent="0.15">
      <c r="A54" s="40">
        <v>6</v>
      </c>
      <c r="B54" s="50" t="s">
        <v>161</v>
      </c>
      <c r="C54" s="43">
        <v>3</v>
      </c>
      <c r="D54" s="66" t="b">
        <f>TRUE()</f>
        <v>1</v>
      </c>
      <c r="E54" s="66" t="b">
        <f>TRUE()</f>
        <v>1</v>
      </c>
      <c r="F54" s="66" t="b">
        <f>FALSE()</f>
        <v>0</v>
      </c>
      <c r="G54" s="66" t="b">
        <f>FALSE()</f>
        <v>0</v>
      </c>
      <c r="H54" s="66" t="b">
        <f>FALSE()</f>
        <v>0</v>
      </c>
      <c r="I54" s="66" t="b">
        <f>FALSE()</f>
        <v>0</v>
      </c>
      <c r="J54" s="32">
        <f>Calculation!D9*C54</f>
        <v>0</v>
      </c>
      <c r="K54" s="44">
        <f>IF(HLOOKUP(Calculation!$D$4,$D$49:$I$81,A54,0),1,0)</f>
        <v>1</v>
      </c>
      <c r="L54" s="32">
        <f t="shared" si="0"/>
        <v>1</v>
      </c>
      <c r="M54" s="38"/>
      <c r="N54" s="38"/>
    </row>
    <row r="55" spans="1:14" s="5" customFormat="1" x14ac:dyDescent="0.15">
      <c r="A55" s="40">
        <v>7</v>
      </c>
      <c r="B55" s="50" t="s">
        <v>162</v>
      </c>
      <c r="C55" s="43">
        <v>1</v>
      </c>
      <c r="D55" s="66" t="b">
        <f>TRUE()</f>
        <v>1</v>
      </c>
      <c r="E55" s="66" t="b">
        <f>TRUE()</f>
        <v>1</v>
      </c>
      <c r="F55" s="66" t="b">
        <f>TRUE()</f>
        <v>1</v>
      </c>
      <c r="G55" s="66" t="b">
        <f>TRUE()</f>
        <v>1</v>
      </c>
      <c r="H55" s="66" t="b">
        <f>TRUE()</f>
        <v>1</v>
      </c>
      <c r="I55" s="66" t="b">
        <f>TRUE()</f>
        <v>1</v>
      </c>
      <c r="J55" s="32">
        <f>Calculation!D10*C55</f>
        <v>0</v>
      </c>
      <c r="K55" s="44">
        <f>IF(HLOOKUP(Calculation!$D$4,$D$49:$I$81,A55,0),1,0)</f>
        <v>1</v>
      </c>
      <c r="L55" s="32">
        <f t="shared" si="0"/>
        <v>1</v>
      </c>
      <c r="M55" s="38"/>
      <c r="N55" s="38"/>
    </row>
    <row r="56" spans="1:14" s="5" customFormat="1" x14ac:dyDescent="0.15">
      <c r="A56" s="40">
        <v>8</v>
      </c>
      <c r="B56" s="32" t="s">
        <v>61</v>
      </c>
      <c r="C56" s="43">
        <v>1</v>
      </c>
      <c r="D56" s="41" t="b">
        <f>TRUE()</f>
        <v>1</v>
      </c>
      <c r="E56" s="66" t="b">
        <f>TRUE()</f>
        <v>1</v>
      </c>
      <c r="F56" s="64" t="b">
        <f>FALSE()</f>
        <v>0</v>
      </c>
      <c r="G56" s="64" t="b">
        <f>FALSE()</f>
        <v>0</v>
      </c>
      <c r="H56" s="64" t="b">
        <f>TRUE()</f>
        <v>1</v>
      </c>
      <c r="I56" s="64" t="b">
        <f>FALSE()</f>
        <v>0</v>
      </c>
      <c r="J56" s="32">
        <f>Calculation!D11*C56</f>
        <v>0</v>
      </c>
      <c r="K56" s="44">
        <f>IF(HLOOKUP(Calculation!$D$4,$D$49:$I$81,A56,0),1,0)</f>
        <v>1</v>
      </c>
      <c r="L56" s="32">
        <f>IF(J56 = 0,1,K56)</f>
        <v>1</v>
      </c>
      <c r="M56" s="38"/>
      <c r="N56" s="38"/>
    </row>
    <row r="57" spans="1:14" s="5" customFormat="1" x14ac:dyDescent="0.15">
      <c r="A57" s="40">
        <v>9</v>
      </c>
      <c r="B57" s="32" t="s">
        <v>18</v>
      </c>
      <c r="C57" s="45">
        <v>1</v>
      </c>
      <c r="D57" s="41" t="b">
        <f>TRUE()</f>
        <v>1</v>
      </c>
      <c r="E57" s="66" t="b">
        <f>TRUE()</f>
        <v>1</v>
      </c>
      <c r="F57" s="46" t="b">
        <f>TRUE()</f>
        <v>1</v>
      </c>
      <c r="G57" s="45" t="b">
        <f>FALSE()</f>
        <v>0</v>
      </c>
      <c r="H57" s="64" t="b">
        <f>TRUE()</f>
        <v>1</v>
      </c>
      <c r="I57" s="46" t="b">
        <f>TRUE()</f>
        <v>1</v>
      </c>
      <c r="J57" s="32">
        <f>Calculation!D12*C57</f>
        <v>0</v>
      </c>
      <c r="K57" s="44">
        <f>IF(HLOOKUP(Calculation!$D$4,$D$49:$I$81,A57,0),1,0)</f>
        <v>1</v>
      </c>
      <c r="L57" s="32">
        <f>IF(J57 = 0,1,K57)</f>
        <v>1</v>
      </c>
      <c r="M57" s="38"/>
      <c r="N57" s="38"/>
    </row>
    <row r="58" spans="1:14" s="5" customFormat="1" x14ac:dyDescent="0.15">
      <c r="A58" s="40">
        <v>10</v>
      </c>
      <c r="B58" s="32" t="s">
        <v>62</v>
      </c>
      <c r="C58" s="45">
        <v>2</v>
      </c>
      <c r="D58" s="41" t="b">
        <f>TRUE()</f>
        <v>1</v>
      </c>
      <c r="E58" s="66" t="b">
        <f>TRUE()</f>
        <v>1</v>
      </c>
      <c r="F58" s="46" t="b">
        <f>TRUE()</f>
        <v>1</v>
      </c>
      <c r="G58" s="45" t="b">
        <f>FALSE()</f>
        <v>0</v>
      </c>
      <c r="H58" s="64" t="b">
        <f>TRUE()</f>
        <v>1</v>
      </c>
      <c r="I58" s="46" t="b">
        <f>TRUE()</f>
        <v>1</v>
      </c>
      <c r="J58" s="32">
        <f>Calculation!D13*C58</f>
        <v>0</v>
      </c>
      <c r="K58" s="44">
        <f>IF(HLOOKUP(Calculation!$D$4,$D$49:$I$81,A58,0),1,0)</f>
        <v>1</v>
      </c>
      <c r="L58" s="32">
        <f t="shared" ref="L58:L80" si="1">IF(J58 = 0,1,K58)</f>
        <v>1</v>
      </c>
      <c r="M58" s="38"/>
      <c r="N58" s="38"/>
    </row>
    <row r="59" spans="1:14" s="5" customFormat="1" x14ac:dyDescent="0.15">
      <c r="A59" s="40">
        <v>11</v>
      </c>
      <c r="B59" s="32" t="s">
        <v>65</v>
      </c>
      <c r="C59" s="45">
        <v>2</v>
      </c>
      <c r="D59" s="41" t="b">
        <f>TRUE()</f>
        <v>1</v>
      </c>
      <c r="E59" s="66" t="b">
        <f>TRUE()</f>
        <v>1</v>
      </c>
      <c r="F59" s="46" t="b">
        <f>FALSE()</f>
        <v>0</v>
      </c>
      <c r="G59" s="45" t="b">
        <f>FALSE()</f>
        <v>0</v>
      </c>
      <c r="H59" s="64" t="b">
        <f>TRUE()</f>
        <v>1</v>
      </c>
      <c r="I59" s="46" t="b">
        <f>FALSE()</f>
        <v>0</v>
      </c>
      <c r="J59" s="32">
        <f>Calculation!D14*C59</f>
        <v>0</v>
      </c>
      <c r="K59" s="44">
        <f>IF(HLOOKUP(Calculation!$D$4,$D$49:$I$81,A59,0),1,0)</f>
        <v>1</v>
      </c>
      <c r="L59" s="32">
        <f t="shared" si="1"/>
        <v>1</v>
      </c>
      <c r="M59" s="38"/>
      <c r="N59" s="38"/>
    </row>
    <row r="60" spans="1:14" s="5" customFormat="1" x14ac:dyDescent="0.15">
      <c r="A60" s="40">
        <v>12</v>
      </c>
      <c r="B60" s="32" t="s">
        <v>19</v>
      </c>
      <c r="C60" s="45">
        <v>2</v>
      </c>
      <c r="D60" s="41" t="b">
        <f>TRUE()</f>
        <v>1</v>
      </c>
      <c r="E60" s="66" t="b">
        <f>TRUE()</f>
        <v>1</v>
      </c>
      <c r="F60" s="45" t="b">
        <f>FALSE()</f>
        <v>0</v>
      </c>
      <c r="G60" s="45" t="b">
        <f>FALSE()</f>
        <v>0</v>
      </c>
      <c r="H60" s="64" t="b">
        <f>TRUE()</f>
        <v>1</v>
      </c>
      <c r="I60" s="45" t="b">
        <f>FALSE()</f>
        <v>0</v>
      </c>
      <c r="J60" s="32">
        <f>Calculation!D15*C60</f>
        <v>0</v>
      </c>
      <c r="K60" s="44">
        <f>IF(HLOOKUP(Calculation!$D$4,$D$49:$I$81,A60,0),1,0)</f>
        <v>1</v>
      </c>
      <c r="L60" s="32">
        <f t="shared" si="1"/>
        <v>1</v>
      </c>
      <c r="M60" s="38"/>
      <c r="N60" s="38"/>
    </row>
    <row r="61" spans="1:14" s="5" customFormat="1" x14ac:dyDescent="0.15">
      <c r="A61" s="40">
        <v>13</v>
      </c>
      <c r="B61" s="32" t="s">
        <v>20</v>
      </c>
      <c r="C61" s="45">
        <v>2</v>
      </c>
      <c r="D61" s="41" t="b">
        <f>TRUE()</f>
        <v>1</v>
      </c>
      <c r="E61" s="66" t="b">
        <f>TRUE()</f>
        <v>1</v>
      </c>
      <c r="F61" s="45" t="b">
        <f>FALSE()</f>
        <v>0</v>
      </c>
      <c r="G61" s="45" t="b">
        <f>FALSE()</f>
        <v>0</v>
      </c>
      <c r="H61" s="64" t="b">
        <f>TRUE()</f>
        <v>1</v>
      </c>
      <c r="I61" s="45" t="b">
        <f>FALSE()</f>
        <v>0</v>
      </c>
      <c r="J61" s="32">
        <f>Calculation!D16*C61</f>
        <v>0</v>
      </c>
      <c r="K61" s="44">
        <f>IF(HLOOKUP(Calculation!$D$4,$D$49:$I$81,A61,0),1,0)</f>
        <v>1</v>
      </c>
      <c r="L61" s="32">
        <f t="shared" si="1"/>
        <v>1</v>
      </c>
      <c r="M61" s="38"/>
      <c r="N61" s="38"/>
    </row>
    <row r="62" spans="1:14" x14ac:dyDescent="0.15">
      <c r="A62" s="40">
        <v>14</v>
      </c>
      <c r="B62" s="32" t="s">
        <v>53</v>
      </c>
      <c r="C62" s="45">
        <v>2</v>
      </c>
      <c r="D62" s="41" t="b">
        <f>TRUE()</f>
        <v>1</v>
      </c>
      <c r="E62" s="66" t="b">
        <f>TRUE()</f>
        <v>1</v>
      </c>
      <c r="F62" s="46" t="b">
        <f>TRUE()</f>
        <v>1</v>
      </c>
      <c r="G62" s="45" t="b">
        <f>FALSE()</f>
        <v>0</v>
      </c>
      <c r="H62" s="64" t="b">
        <f>TRUE()</f>
        <v>1</v>
      </c>
      <c r="I62" s="46" t="b">
        <f>TRUE()</f>
        <v>1</v>
      </c>
      <c r="J62" s="32">
        <f>Calculation!D17*C62</f>
        <v>0</v>
      </c>
      <c r="K62" s="44">
        <f>IF(HLOOKUP(Calculation!$D$4,$D$49:$I$81,A62,0),1,0)</f>
        <v>1</v>
      </c>
      <c r="L62" s="32">
        <f t="shared" si="1"/>
        <v>1</v>
      </c>
      <c r="M62" s="38"/>
      <c r="N62" s="38"/>
    </row>
    <row r="63" spans="1:14" x14ac:dyDescent="0.15">
      <c r="A63" s="40">
        <v>15</v>
      </c>
      <c r="B63" s="32" t="s">
        <v>23</v>
      </c>
      <c r="C63" s="45">
        <v>1</v>
      </c>
      <c r="D63" s="41" t="b">
        <f>TRUE()</f>
        <v>1</v>
      </c>
      <c r="E63" s="66" t="b">
        <f>TRUE()</f>
        <v>1</v>
      </c>
      <c r="F63" s="45" t="b">
        <f>FALSE()</f>
        <v>0</v>
      </c>
      <c r="G63" s="45" t="b">
        <f>FALSE()</f>
        <v>0</v>
      </c>
      <c r="H63" s="64" t="b">
        <f>TRUE()</f>
        <v>1</v>
      </c>
      <c r="I63" s="45" t="b">
        <f>FALSE()</f>
        <v>0</v>
      </c>
      <c r="J63" s="32">
        <f>Calculation!D18*C63</f>
        <v>0</v>
      </c>
      <c r="K63" s="44">
        <f>IF(HLOOKUP(Calculation!$D$4,$D$49:$I$81,A63,0),1,0)</f>
        <v>1</v>
      </c>
      <c r="L63" s="32">
        <f t="shared" si="1"/>
        <v>1</v>
      </c>
      <c r="M63" s="38"/>
      <c r="N63" s="38"/>
    </row>
    <row r="64" spans="1:14" x14ac:dyDescent="0.15">
      <c r="A64" s="40">
        <v>16</v>
      </c>
      <c r="B64" s="32" t="s">
        <v>60</v>
      </c>
      <c r="C64" s="45">
        <v>2</v>
      </c>
      <c r="D64" s="41" t="b">
        <f>TRUE()</f>
        <v>1</v>
      </c>
      <c r="E64" s="66" t="b">
        <f>TRUE()</f>
        <v>1</v>
      </c>
      <c r="F64" s="46" t="b">
        <f>FALSE()</f>
        <v>0</v>
      </c>
      <c r="G64" s="46" t="b">
        <f>FALSE()</f>
        <v>0</v>
      </c>
      <c r="H64" s="64" t="b">
        <f>TRUE()</f>
        <v>1</v>
      </c>
      <c r="I64" s="46" t="b">
        <f>FALSE()</f>
        <v>0</v>
      </c>
      <c r="J64" s="32">
        <f>Calculation!D19*C64</f>
        <v>0</v>
      </c>
      <c r="K64" s="44">
        <f>IF(HLOOKUP(Calculation!$D$4,$D$49:$I$81,A64,0),1,0)</f>
        <v>1</v>
      </c>
      <c r="L64" s="32">
        <f t="shared" si="1"/>
        <v>1</v>
      </c>
      <c r="M64" s="38"/>
      <c r="N64" s="38"/>
    </row>
    <row r="65" spans="1:14" x14ac:dyDescent="0.15">
      <c r="A65" s="40">
        <v>17</v>
      </c>
      <c r="B65" s="32" t="s">
        <v>24</v>
      </c>
      <c r="C65" s="45">
        <v>1</v>
      </c>
      <c r="D65" s="41" t="b">
        <f>TRUE()</f>
        <v>1</v>
      </c>
      <c r="E65" s="66" t="b">
        <f>TRUE()</f>
        <v>1</v>
      </c>
      <c r="F65" s="46" t="b">
        <f>TRUE()</f>
        <v>1</v>
      </c>
      <c r="G65" s="46" t="b">
        <f>TRUE()</f>
        <v>1</v>
      </c>
      <c r="H65" s="64" t="b">
        <f>TRUE()</f>
        <v>1</v>
      </c>
      <c r="I65" s="46" t="b">
        <f>TRUE()</f>
        <v>1</v>
      </c>
      <c r="J65" s="32">
        <f>Calculation!D20*C65</f>
        <v>0</v>
      </c>
      <c r="K65" s="44">
        <f>IF(HLOOKUP(Calculation!$D$4,$D$49:$I$81,A65,0),1,0)</f>
        <v>1</v>
      </c>
      <c r="L65" s="32">
        <f t="shared" si="1"/>
        <v>1</v>
      </c>
      <c r="M65" s="38"/>
      <c r="N65" s="38"/>
    </row>
    <row r="66" spans="1:14" x14ac:dyDescent="0.15">
      <c r="A66" s="40">
        <v>18</v>
      </c>
      <c r="B66" s="32" t="s">
        <v>25</v>
      </c>
      <c r="C66" s="45">
        <v>1</v>
      </c>
      <c r="D66" s="41" t="b">
        <f>TRUE()</f>
        <v>1</v>
      </c>
      <c r="E66" s="66" t="b">
        <f>TRUE()</f>
        <v>1</v>
      </c>
      <c r="F66" s="46" t="b">
        <f>TRUE()</f>
        <v>1</v>
      </c>
      <c r="G66" s="46" t="b">
        <f>TRUE()</f>
        <v>1</v>
      </c>
      <c r="H66" s="64" t="b">
        <f>TRUE()</f>
        <v>1</v>
      </c>
      <c r="I66" s="46" t="b">
        <f>TRUE()</f>
        <v>1</v>
      </c>
      <c r="J66" s="32">
        <f>Calculation!D21*C66</f>
        <v>0</v>
      </c>
      <c r="K66" s="44">
        <f>IF(HLOOKUP(Calculation!$D$4,$D$49:$I$81,A66,0),1,0)</f>
        <v>1</v>
      </c>
      <c r="L66" s="32">
        <f t="shared" si="1"/>
        <v>1</v>
      </c>
      <c r="M66" s="38"/>
      <c r="N66" s="38"/>
    </row>
    <row r="67" spans="1:14" x14ac:dyDescent="0.15">
      <c r="A67" s="40">
        <v>19</v>
      </c>
      <c r="B67" s="32" t="s">
        <v>49</v>
      </c>
      <c r="C67" s="45">
        <v>1</v>
      </c>
      <c r="D67" s="41" t="b">
        <f>TRUE()</f>
        <v>1</v>
      </c>
      <c r="E67" s="66" t="b">
        <f>TRUE()</f>
        <v>1</v>
      </c>
      <c r="F67" s="46" t="b">
        <f>TRUE()</f>
        <v>1</v>
      </c>
      <c r="G67" s="45" t="b">
        <f>FALSE()</f>
        <v>0</v>
      </c>
      <c r="H67" s="64" t="b">
        <f>TRUE()</f>
        <v>1</v>
      </c>
      <c r="I67" s="46" t="b">
        <f>TRUE()</f>
        <v>1</v>
      </c>
      <c r="J67" s="32">
        <f>Calculation!D22*C67</f>
        <v>0</v>
      </c>
      <c r="K67" s="44">
        <f>IF(HLOOKUP(Calculation!$D$4,$D$49:$I$81,A67,0),1,0)</f>
        <v>1</v>
      </c>
      <c r="L67" s="32">
        <f t="shared" si="1"/>
        <v>1</v>
      </c>
      <c r="M67" s="38"/>
      <c r="N67" s="38"/>
    </row>
    <row r="68" spans="1:14" x14ac:dyDescent="0.15">
      <c r="A68" s="40">
        <v>20</v>
      </c>
      <c r="B68" s="32" t="s">
        <v>54</v>
      </c>
      <c r="C68" s="45">
        <v>2</v>
      </c>
      <c r="D68" s="41" t="b">
        <f>TRUE()</f>
        <v>1</v>
      </c>
      <c r="E68" s="66" t="b">
        <f>TRUE()</f>
        <v>1</v>
      </c>
      <c r="F68" s="46" t="b">
        <f>TRUE()</f>
        <v>1</v>
      </c>
      <c r="G68" s="46" t="b">
        <f>TRUE()</f>
        <v>1</v>
      </c>
      <c r="H68" s="64" t="b">
        <f>TRUE()</f>
        <v>1</v>
      </c>
      <c r="I68" s="46" t="b">
        <f>TRUE()</f>
        <v>1</v>
      </c>
      <c r="J68" s="32">
        <f>Calculation!D23*C68</f>
        <v>0</v>
      </c>
      <c r="K68" s="44">
        <f>IF(HLOOKUP(Calculation!$D$4,$D$49:$I$81,A68,0),1,0)</f>
        <v>1</v>
      </c>
      <c r="L68" s="32">
        <f t="shared" si="1"/>
        <v>1</v>
      </c>
      <c r="M68" s="38"/>
      <c r="N68" s="38"/>
    </row>
    <row r="69" spans="1:14" x14ac:dyDescent="0.15">
      <c r="A69" s="40">
        <v>21</v>
      </c>
      <c r="B69" s="32" t="s">
        <v>55</v>
      </c>
      <c r="C69" s="45">
        <v>2</v>
      </c>
      <c r="D69" s="41" t="b">
        <f>TRUE()</f>
        <v>1</v>
      </c>
      <c r="E69" s="66" t="b">
        <f>TRUE()</f>
        <v>1</v>
      </c>
      <c r="F69" s="46" t="b">
        <f>TRUE()</f>
        <v>1</v>
      </c>
      <c r="G69" s="45" t="b">
        <f>FALSE()</f>
        <v>0</v>
      </c>
      <c r="H69" s="64" t="b">
        <f>TRUE()</f>
        <v>1</v>
      </c>
      <c r="I69" s="46" t="b">
        <f>TRUE()</f>
        <v>1</v>
      </c>
      <c r="J69" s="32">
        <f>Calculation!D24*C69</f>
        <v>0</v>
      </c>
      <c r="K69" s="44">
        <f>IF(HLOOKUP(Calculation!$D$4,$D$49:$I$81,A69,0),1,0)</f>
        <v>1</v>
      </c>
      <c r="L69" s="32">
        <f t="shared" si="1"/>
        <v>1</v>
      </c>
      <c r="M69" s="38"/>
      <c r="N69" s="38"/>
    </row>
    <row r="70" spans="1:14" x14ac:dyDescent="0.15">
      <c r="A70" s="40">
        <v>22</v>
      </c>
      <c r="B70" s="32" t="s">
        <v>66</v>
      </c>
      <c r="C70" s="45">
        <v>2</v>
      </c>
      <c r="D70" s="41" t="b">
        <f>TRUE()</f>
        <v>1</v>
      </c>
      <c r="E70" s="66" t="b">
        <f>TRUE()</f>
        <v>1</v>
      </c>
      <c r="F70" s="46" t="b">
        <f>TRUE()</f>
        <v>1</v>
      </c>
      <c r="G70" s="45" t="b">
        <f>FALSE()</f>
        <v>0</v>
      </c>
      <c r="H70" s="64" t="b">
        <f>TRUE()</f>
        <v>1</v>
      </c>
      <c r="I70" s="46" t="b">
        <f>TRUE()</f>
        <v>1</v>
      </c>
      <c r="J70" s="32">
        <f>Calculation!D25*C70</f>
        <v>0</v>
      </c>
      <c r="K70" s="44">
        <f>IF(HLOOKUP(Calculation!$D$4,$D$49:$I$81,A70,0),1,0)</f>
        <v>1</v>
      </c>
      <c r="L70" s="32">
        <f t="shared" si="1"/>
        <v>1</v>
      </c>
      <c r="M70" s="38"/>
      <c r="N70" s="38"/>
    </row>
    <row r="71" spans="1:14" x14ac:dyDescent="0.15">
      <c r="A71" s="40">
        <v>23</v>
      </c>
      <c r="B71" s="32" t="s">
        <v>64</v>
      </c>
      <c r="C71" s="45">
        <v>1</v>
      </c>
      <c r="D71" s="41" t="b">
        <f>TRUE()</f>
        <v>1</v>
      </c>
      <c r="E71" s="66" t="b">
        <f>TRUE()</f>
        <v>1</v>
      </c>
      <c r="F71" s="46" t="b">
        <f>TRUE()</f>
        <v>1</v>
      </c>
      <c r="G71" s="45" t="b">
        <f>FALSE()</f>
        <v>0</v>
      </c>
      <c r="H71" s="64" t="b">
        <f>TRUE()</f>
        <v>1</v>
      </c>
      <c r="I71" s="46" t="b">
        <f>TRUE()</f>
        <v>1</v>
      </c>
      <c r="J71" s="32">
        <f>Calculation!D26*C71</f>
        <v>0</v>
      </c>
      <c r="K71" s="44">
        <f>IF(HLOOKUP(Calculation!$D$4,$D$49:$I$81,A71,0),1,0)</f>
        <v>1</v>
      </c>
      <c r="L71" s="32">
        <f t="shared" si="1"/>
        <v>1</v>
      </c>
      <c r="M71" s="38"/>
      <c r="N71" s="38"/>
    </row>
    <row r="72" spans="1:14" x14ac:dyDescent="0.15">
      <c r="A72" s="40">
        <v>24</v>
      </c>
      <c r="B72" s="32" t="s">
        <v>67</v>
      </c>
      <c r="C72" s="45">
        <v>2</v>
      </c>
      <c r="D72" s="41" t="b">
        <f>TRUE()</f>
        <v>1</v>
      </c>
      <c r="E72" s="66" t="b">
        <f>TRUE()</f>
        <v>1</v>
      </c>
      <c r="F72" s="45" t="b">
        <f>FALSE()</f>
        <v>0</v>
      </c>
      <c r="G72" s="45" t="b">
        <f>FALSE()</f>
        <v>0</v>
      </c>
      <c r="H72" s="64" t="b">
        <f>TRUE()</f>
        <v>1</v>
      </c>
      <c r="I72" s="45" t="b">
        <f>FALSE()</f>
        <v>0</v>
      </c>
      <c r="J72" s="32">
        <f>Calculation!D27*C72</f>
        <v>0</v>
      </c>
      <c r="K72" s="44">
        <f>IF(HLOOKUP(Calculation!$D$4,$D$49:$I$81,A72,0),1,0)</f>
        <v>1</v>
      </c>
      <c r="L72" s="32">
        <f t="shared" si="1"/>
        <v>1</v>
      </c>
      <c r="M72" s="38"/>
      <c r="N72" s="38"/>
    </row>
    <row r="73" spans="1:14" x14ac:dyDescent="0.15">
      <c r="A73" s="40">
        <v>25</v>
      </c>
      <c r="B73" s="32" t="s">
        <v>68</v>
      </c>
      <c r="C73" s="45">
        <v>2</v>
      </c>
      <c r="D73" s="41" t="b">
        <f>TRUE()</f>
        <v>1</v>
      </c>
      <c r="E73" s="66" t="b">
        <f>TRUE()</f>
        <v>1</v>
      </c>
      <c r="F73" s="45" t="b">
        <f>FALSE()</f>
        <v>0</v>
      </c>
      <c r="G73" s="45" t="b">
        <f>FALSE()</f>
        <v>0</v>
      </c>
      <c r="H73" s="64" t="b">
        <f>TRUE()</f>
        <v>1</v>
      </c>
      <c r="I73" s="45" t="b">
        <f>FALSE()</f>
        <v>0</v>
      </c>
      <c r="J73" s="32">
        <f>Calculation!D28*C73</f>
        <v>0</v>
      </c>
      <c r="K73" s="44">
        <f>IF(HLOOKUP(Calculation!$D$4,$D$49:$I$81,A73,0),1,0)</f>
        <v>1</v>
      </c>
      <c r="L73" s="32">
        <f t="shared" si="1"/>
        <v>1</v>
      </c>
      <c r="M73" s="38"/>
      <c r="N73" s="38"/>
    </row>
    <row r="74" spans="1:14" x14ac:dyDescent="0.15">
      <c r="A74" s="40">
        <v>26</v>
      </c>
      <c r="B74" s="32" t="s">
        <v>56</v>
      </c>
      <c r="C74" s="45">
        <v>1</v>
      </c>
      <c r="D74" s="41" t="b">
        <f>TRUE()</f>
        <v>1</v>
      </c>
      <c r="E74" s="66" t="b">
        <f>TRUE()</f>
        <v>1</v>
      </c>
      <c r="F74" s="46" t="b">
        <f>TRUE()</f>
        <v>1</v>
      </c>
      <c r="G74" s="45" t="b">
        <f>FALSE()</f>
        <v>0</v>
      </c>
      <c r="H74" s="64" t="b">
        <f>TRUE()</f>
        <v>1</v>
      </c>
      <c r="I74" s="46" t="b">
        <f>TRUE()</f>
        <v>1</v>
      </c>
      <c r="J74" s="32">
        <f>Calculation!D29*C74</f>
        <v>0</v>
      </c>
      <c r="K74" s="44">
        <f>IF(HLOOKUP(Calculation!$D$4,$D$49:$I$81,A74,0),1,0)</f>
        <v>1</v>
      </c>
      <c r="L74" s="32">
        <f t="shared" si="1"/>
        <v>1</v>
      </c>
      <c r="M74" s="38"/>
      <c r="N74" s="38"/>
    </row>
    <row r="75" spans="1:14" x14ac:dyDescent="0.15">
      <c r="A75" s="40">
        <v>27</v>
      </c>
      <c r="B75" s="32" t="s">
        <v>30</v>
      </c>
      <c r="C75" s="45">
        <v>1</v>
      </c>
      <c r="D75" s="41" t="b">
        <f>TRUE()</f>
        <v>1</v>
      </c>
      <c r="E75" s="66" t="b">
        <f>TRUE()</f>
        <v>1</v>
      </c>
      <c r="F75" s="46" t="b">
        <f>TRUE()</f>
        <v>1</v>
      </c>
      <c r="G75" s="45" t="b">
        <f>FALSE()</f>
        <v>0</v>
      </c>
      <c r="H75" s="64" t="b">
        <f>TRUE()</f>
        <v>1</v>
      </c>
      <c r="I75" s="46" t="b">
        <f>TRUE()</f>
        <v>1</v>
      </c>
      <c r="J75" s="32">
        <f>Calculation!D30*C75</f>
        <v>0</v>
      </c>
      <c r="K75" s="44">
        <f>IF(HLOOKUP(Calculation!$D$4,$D$49:$I$81,A75,0),1,0)</f>
        <v>1</v>
      </c>
      <c r="L75" s="32">
        <f t="shared" si="1"/>
        <v>1</v>
      </c>
      <c r="M75" s="38"/>
      <c r="N75" s="38"/>
    </row>
    <row r="76" spans="1:14" x14ac:dyDescent="0.15">
      <c r="A76" s="40">
        <v>28</v>
      </c>
      <c r="B76" s="32" t="s">
        <v>31</v>
      </c>
      <c r="C76" s="45">
        <v>1</v>
      </c>
      <c r="D76" s="41" t="b">
        <f>TRUE()</f>
        <v>1</v>
      </c>
      <c r="E76" s="66" t="b">
        <f>TRUE()</f>
        <v>1</v>
      </c>
      <c r="F76" s="46" t="b">
        <f>TRUE()</f>
        <v>1</v>
      </c>
      <c r="G76" s="46" t="b">
        <f>TRUE()</f>
        <v>1</v>
      </c>
      <c r="H76" s="64" t="b">
        <f>TRUE()</f>
        <v>1</v>
      </c>
      <c r="I76" s="46" t="b">
        <f>TRUE()</f>
        <v>1</v>
      </c>
      <c r="J76" s="32">
        <f>Calculation!D31*C76</f>
        <v>0</v>
      </c>
      <c r="K76" s="44">
        <f>IF(HLOOKUP(Calculation!$D$4,$D$49:$I$81,A76,0),1,0)</f>
        <v>1</v>
      </c>
      <c r="L76" s="32">
        <f t="shared" si="1"/>
        <v>1</v>
      </c>
      <c r="M76" s="38"/>
      <c r="N76" s="38"/>
    </row>
    <row r="77" spans="1:14" x14ac:dyDescent="0.15">
      <c r="A77" s="40">
        <v>29</v>
      </c>
      <c r="B77" s="36" t="s">
        <v>33</v>
      </c>
      <c r="C77" s="46">
        <v>1</v>
      </c>
      <c r="D77" s="41" t="b">
        <f>TRUE()</f>
        <v>1</v>
      </c>
      <c r="E77" s="66" t="b">
        <f>TRUE()</f>
        <v>1</v>
      </c>
      <c r="F77" s="46" t="b">
        <f>TRUE()</f>
        <v>1</v>
      </c>
      <c r="G77" s="46" t="b">
        <f>TRUE()</f>
        <v>1</v>
      </c>
      <c r="H77" s="64" t="b">
        <f>TRUE()</f>
        <v>1</v>
      </c>
      <c r="I77" s="46" t="b">
        <f>TRUE()</f>
        <v>1</v>
      </c>
      <c r="J77" s="32">
        <f>Calculation!D32*C77</f>
        <v>0</v>
      </c>
      <c r="K77" s="44">
        <f>IF(HLOOKUP(Calculation!$D$4,$D$49:$I$81,A77,0),1,0)</f>
        <v>1</v>
      </c>
      <c r="L77" s="32">
        <f t="shared" si="1"/>
        <v>1</v>
      </c>
      <c r="M77" s="38"/>
      <c r="N77" s="38"/>
    </row>
    <row r="78" spans="1:14" x14ac:dyDescent="0.15">
      <c r="A78" s="40">
        <v>30</v>
      </c>
      <c r="B78" s="36" t="s">
        <v>69</v>
      </c>
      <c r="C78" s="46">
        <v>1</v>
      </c>
      <c r="D78" s="41" t="b">
        <f>TRUE()</f>
        <v>1</v>
      </c>
      <c r="E78" s="66" t="b">
        <f>TRUE()</f>
        <v>1</v>
      </c>
      <c r="F78" s="46" t="b">
        <f>TRUE()</f>
        <v>1</v>
      </c>
      <c r="G78" s="46" t="b">
        <f>FALSE()</f>
        <v>0</v>
      </c>
      <c r="H78" s="64" t="b">
        <f>TRUE()</f>
        <v>1</v>
      </c>
      <c r="I78" s="46" t="b">
        <f>TRUE()</f>
        <v>1</v>
      </c>
      <c r="J78" s="32">
        <f>Calculation!D33*C78</f>
        <v>0</v>
      </c>
      <c r="K78" s="44">
        <f>IF(HLOOKUP(Calculation!$D$4,$D$49:$I$81,A78,0),1,0)</f>
        <v>1</v>
      </c>
      <c r="L78" s="32">
        <f t="shared" si="1"/>
        <v>1</v>
      </c>
      <c r="M78" s="38"/>
      <c r="N78" s="38"/>
    </row>
    <row r="79" spans="1:14" x14ac:dyDescent="0.15">
      <c r="A79" s="40">
        <v>31</v>
      </c>
      <c r="B79" s="32" t="s">
        <v>57</v>
      </c>
      <c r="C79" s="45">
        <v>1</v>
      </c>
      <c r="D79" s="41" t="b">
        <f>TRUE()</f>
        <v>1</v>
      </c>
      <c r="E79" s="66" t="b">
        <f>TRUE()</f>
        <v>1</v>
      </c>
      <c r="F79" s="46" t="b">
        <f>TRUE()</f>
        <v>1</v>
      </c>
      <c r="G79" s="46" t="b">
        <f>TRUE()</f>
        <v>1</v>
      </c>
      <c r="H79" s="64" t="b">
        <f>TRUE()</f>
        <v>1</v>
      </c>
      <c r="I79" s="46" t="b">
        <f>TRUE()</f>
        <v>1</v>
      </c>
      <c r="J79" s="32">
        <f>Calculation!D34*C79</f>
        <v>0</v>
      </c>
      <c r="K79" s="44">
        <f>IF(HLOOKUP(Calculation!$D$4,$D$49:$I$81,A79,0),1,0)</f>
        <v>1</v>
      </c>
      <c r="L79" s="32">
        <f t="shared" si="1"/>
        <v>1</v>
      </c>
      <c r="M79" s="38"/>
      <c r="N79" s="38"/>
    </row>
    <row r="80" spans="1:14" x14ac:dyDescent="0.15">
      <c r="A80" s="40">
        <v>32</v>
      </c>
      <c r="B80" s="36" t="s">
        <v>58</v>
      </c>
      <c r="C80" s="47">
        <v>1</v>
      </c>
      <c r="D80" s="41" t="b">
        <f>TRUE()</f>
        <v>1</v>
      </c>
      <c r="E80" s="66" t="b">
        <f>TRUE()</f>
        <v>1</v>
      </c>
      <c r="F80" s="48" t="b">
        <f>TRUE()</f>
        <v>1</v>
      </c>
      <c r="G80" s="45" t="b">
        <f>FALSE()</f>
        <v>0</v>
      </c>
      <c r="H80" s="64" t="b">
        <f>TRUE()</f>
        <v>1</v>
      </c>
      <c r="I80" s="48" t="b">
        <f>TRUE()</f>
        <v>1</v>
      </c>
      <c r="J80" s="32">
        <f>Calculation!D35*C80</f>
        <v>0</v>
      </c>
      <c r="K80" s="44">
        <f>IF(HLOOKUP(Calculation!$D$4,$D$49:$I$81,A80,0),1,0)</f>
        <v>1</v>
      </c>
      <c r="L80" s="32">
        <f t="shared" si="1"/>
        <v>1</v>
      </c>
      <c r="M80" s="38"/>
      <c r="N80" s="38"/>
    </row>
    <row r="81" spans="1:14" x14ac:dyDescent="0.15">
      <c r="A81" s="40">
        <v>33</v>
      </c>
      <c r="B81" s="36" t="s">
        <v>112</v>
      </c>
      <c r="C81" s="47">
        <v>1</v>
      </c>
      <c r="D81" s="45" t="b">
        <f>FALSE()</f>
        <v>0</v>
      </c>
      <c r="E81" s="45" t="b">
        <f>FALSE()</f>
        <v>0</v>
      </c>
      <c r="F81" s="45" t="b">
        <f>FALSE()</f>
        <v>0</v>
      </c>
      <c r="G81" s="45" t="b">
        <f>FALSE()</f>
        <v>0</v>
      </c>
      <c r="H81" s="64" t="b">
        <f>TRUE()</f>
        <v>1</v>
      </c>
      <c r="I81" s="64" t="b">
        <f>TRUE()</f>
        <v>1</v>
      </c>
      <c r="J81" s="49">
        <f>IF(AND(K81,OR(0&lt;J56,0&lt;J59, 0&lt;J60,0&lt;J61,0&lt;J72,0&lt;J73)),1,0)</f>
        <v>0</v>
      </c>
      <c r="K81" s="44">
        <f>IF(HLOOKUP(Calculation!$D$4,$D$49:$I$81,A81,0),1,0)</f>
        <v>0</v>
      </c>
      <c r="L81" s="32">
        <v>1</v>
      </c>
      <c r="M81" s="38"/>
      <c r="N81" s="38"/>
    </row>
    <row r="82" spans="1:14" x14ac:dyDescent="0.15">
      <c r="A82" s="38"/>
      <c r="B82" s="118" t="s">
        <v>101</v>
      </c>
      <c r="C82" s="119"/>
      <c r="D82" s="119"/>
      <c r="E82" s="119"/>
      <c r="F82" s="120"/>
      <c r="G82" s="50"/>
      <c r="H82" s="50"/>
      <c r="I82" s="50"/>
      <c r="J82" s="51" t="b">
        <f>IF(AND(C103=FALSE,C104=FALSE,C105=FALSE,C106=FALSE,C107=FALSE,C108=FALSE,C109=FALSE,C110=FALSE,C111=FALSE,C112=FALSE),TRUE,FALSE)</f>
        <v>1</v>
      </c>
      <c r="K82" s="52" t="s">
        <v>113</v>
      </c>
      <c r="L82" s="32" t="b">
        <f>AND(L51:L81)</f>
        <v>1</v>
      </c>
      <c r="M82" s="38"/>
      <c r="N82" s="38"/>
    </row>
    <row r="83" spans="1:14" x14ac:dyDescent="0.1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x14ac:dyDescent="0.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x14ac:dyDescent="0.1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x14ac:dyDescent="0.15">
      <c r="A86" s="121" t="s">
        <v>114</v>
      </c>
      <c r="B86" s="122"/>
      <c r="C86" s="122"/>
      <c r="D86" s="123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x14ac:dyDescent="0.15">
      <c r="A87" s="32">
        <v>0</v>
      </c>
      <c r="B87" s="32" t="s">
        <v>41</v>
      </c>
      <c r="C87" s="32" t="s">
        <v>154</v>
      </c>
      <c r="D87" s="32" t="s">
        <v>115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x14ac:dyDescent="0.15">
      <c r="A88" s="32">
        <v>1</v>
      </c>
      <c r="B88" s="32" t="s">
        <v>7</v>
      </c>
      <c r="C88" s="32" t="s">
        <v>9</v>
      </c>
      <c r="D88" s="32" t="s">
        <v>116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</row>
    <row r="89" spans="1:14" x14ac:dyDescent="0.15">
      <c r="A89" s="32">
        <v>2</v>
      </c>
      <c r="B89" s="32" t="s">
        <v>42</v>
      </c>
      <c r="C89" s="32" t="s">
        <v>15</v>
      </c>
      <c r="D89" s="32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spans="1:14" x14ac:dyDescent="0.15">
      <c r="A90" s="32">
        <v>3</v>
      </c>
      <c r="B90" s="32" t="s">
        <v>43</v>
      </c>
      <c r="C90" s="32" t="s">
        <v>16</v>
      </c>
      <c r="D90" s="32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x14ac:dyDescent="0.15">
      <c r="A91" s="32">
        <v>4</v>
      </c>
      <c r="B91" s="32"/>
      <c r="C91" s="32" t="s">
        <v>84</v>
      </c>
      <c r="D91" s="32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x14ac:dyDescent="0.15">
      <c r="A92" s="32">
        <v>5</v>
      </c>
      <c r="B92" s="32"/>
      <c r="C92" s="32" t="s">
        <v>95</v>
      </c>
      <c r="D92" s="32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s="5" customFormat="1" x14ac:dyDescent="0.15">
      <c r="A93" s="32">
        <v>6</v>
      </c>
      <c r="B93" s="32"/>
      <c r="C93" s="32"/>
      <c r="D93" s="32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s="5" customFormat="1" x14ac:dyDescent="0.15">
      <c r="A94" s="32">
        <v>7</v>
      </c>
      <c r="B94" s="32"/>
      <c r="C94" s="32"/>
      <c r="D94" s="32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s="5" customFormat="1" x14ac:dyDescent="0.15">
      <c r="A95" s="32">
        <v>8</v>
      </c>
      <c r="B95" s="32"/>
      <c r="C95" s="32"/>
      <c r="D95" s="32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s="5" customFormat="1" x14ac:dyDescent="0.15">
      <c r="A96" s="32">
        <v>9</v>
      </c>
      <c r="B96" s="32"/>
      <c r="C96" s="32"/>
      <c r="D96" s="32"/>
      <c r="E96" s="38"/>
      <c r="F96" s="38"/>
      <c r="G96" s="38"/>
      <c r="H96" s="38"/>
      <c r="I96" s="38"/>
      <c r="J96" s="38"/>
      <c r="K96" s="38"/>
      <c r="L96" s="38"/>
      <c r="M96" s="38"/>
      <c r="N96" s="38"/>
    </row>
    <row r="97" spans="1:14" s="5" customFormat="1" x14ac:dyDescent="0.15">
      <c r="A97" s="32">
        <v>10</v>
      </c>
      <c r="B97" s="32"/>
      <c r="C97" s="32"/>
      <c r="D97" s="32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s="5" customFormat="1" x14ac:dyDescent="0.15">
      <c r="A98" s="32">
        <v>11</v>
      </c>
      <c r="B98" s="32"/>
      <c r="C98" s="32"/>
      <c r="D98" s="32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s="5" customFormat="1" x14ac:dyDescent="0.15">
      <c r="A99" s="32">
        <v>12</v>
      </c>
      <c r="B99" s="32"/>
      <c r="C99" s="32"/>
      <c r="D99" s="32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2" spans="1:14" x14ac:dyDescent="0.15">
      <c r="B102" s="98" t="s">
        <v>187</v>
      </c>
      <c r="C102" s="98" t="s">
        <v>188</v>
      </c>
    </row>
    <row r="103" spans="1:14" x14ac:dyDescent="0.15">
      <c r="B103" s="98" t="s">
        <v>179</v>
      </c>
      <c r="C103" s="98" t="b">
        <f>OR(SUM(J51:J81)&gt;J50)</f>
        <v>0</v>
      </c>
    </row>
    <row r="104" spans="1:14" x14ac:dyDescent="0.15">
      <c r="B104" s="98" t="s">
        <v>180</v>
      </c>
      <c r="C104" s="98" t="b">
        <f>(J52+J54)&gt;9</f>
        <v>0</v>
      </c>
    </row>
    <row r="105" spans="1:14" x14ac:dyDescent="0.15">
      <c r="B105" s="98" t="s">
        <v>181</v>
      </c>
      <c r="C105" s="98" t="b">
        <f>AND((J52+J54)=9,(J51+J53+SUM(J58:J62)+J64+SUM(J68:J70)+SUM(J72:J73))&gt;=1)</f>
        <v>0</v>
      </c>
    </row>
    <row r="106" spans="1:14" x14ac:dyDescent="0.15">
      <c r="B106" s="98" t="s">
        <v>182</v>
      </c>
      <c r="C106" s="98" t="b">
        <f>J51&gt;10</f>
        <v>0</v>
      </c>
    </row>
    <row r="107" spans="1:14" x14ac:dyDescent="0.15">
      <c r="B107" s="98" t="s">
        <v>183</v>
      </c>
      <c r="C107" s="98" t="b">
        <f>AND(J51=10,SUM(J52:J80)&gt;=1)</f>
        <v>0</v>
      </c>
    </row>
    <row r="108" spans="1:14" x14ac:dyDescent="0.15">
      <c r="B108" s="98" t="s">
        <v>184</v>
      </c>
      <c r="C108" s="98" t="b">
        <f>J53&gt;10</f>
        <v>0</v>
      </c>
    </row>
    <row r="109" spans="1:14" x14ac:dyDescent="0.15">
      <c r="B109" s="98" t="s">
        <v>185</v>
      </c>
      <c r="C109" s="98" t="b">
        <f>AND(J53=10,OR(SUM(J51:J52)&gt;=1,SUM(J54:J80)&gt;=1))</f>
        <v>0</v>
      </c>
    </row>
    <row r="110" spans="1:14" x14ac:dyDescent="0.15">
      <c r="B110" s="98" t="s">
        <v>189</v>
      </c>
      <c r="C110" s="98" t="b">
        <f>AND(J50=5,J56&gt;3)</f>
        <v>0</v>
      </c>
    </row>
    <row r="111" spans="1:14" x14ac:dyDescent="0.15">
      <c r="B111" s="98" t="s">
        <v>190</v>
      </c>
      <c r="C111" s="98" t="b">
        <f>AND(J50=5,AND(J56=3,SUM(J57:J80)&gt;=1))</f>
        <v>0</v>
      </c>
    </row>
    <row r="112" spans="1:14" x14ac:dyDescent="0.15">
      <c r="B112" s="98" t="s">
        <v>186</v>
      </c>
      <c r="C112" s="98" t="b">
        <f>AND((J52+J54)=6,(J51+J53+SUM(J58:J62)+J64+SUM(J68:J70)+SUM(J72:J73))&gt;=5)</f>
        <v>0</v>
      </c>
    </row>
  </sheetData>
  <sheetProtection algorithmName="SHA-512" hashValue="hfZce3JDClZYhHiF7m5OpCIFGWk3TNWuDwYlqTxW1iUwt4AOuvE3NOCcfRgIFSKWojvaubdnvFO8fUxasLp7KQ==" saltValue="mPWWIs+quLZAN0V3Rblsng==" spinCount="100000" sheet="1" objects="1" scenarios="1"/>
  <mergeCells count="7">
    <mergeCell ref="B82:F82"/>
    <mergeCell ref="A86:D86"/>
    <mergeCell ref="C1:F1"/>
    <mergeCell ref="G1:J1"/>
    <mergeCell ref="B46:L46"/>
    <mergeCell ref="J48:K48"/>
    <mergeCell ref="C48:I48"/>
  </mergeCells>
  <phoneticPr fontId="5"/>
  <pageMargins left="0.75" right="0.75" top="1" bottom="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Calculation Instructions</vt:lpstr>
      <vt:lpstr>使用方法_元</vt:lpstr>
      <vt:lpstr>Calculation</vt:lpstr>
      <vt:lpstr>DataTable</vt:lpstr>
    </vt:vector>
  </TitlesOfParts>
  <Company>FOR-A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nogami</dc:creator>
  <dc:description/>
  <cp:lastModifiedBy>k_yokoyama</cp:lastModifiedBy>
  <cp:revision>26</cp:revision>
  <cp:lastPrinted>2021-10-20T04:44:44Z</cp:lastPrinted>
  <dcterms:created xsi:type="dcterms:W3CDTF">2016-05-31T02:24:00Z</dcterms:created>
  <dcterms:modified xsi:type="dcterms:W3CDTF">2021-11-05T05:16:04Z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FOR-A COMPANY LIMITED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1041-9.1.0.4586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